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aryg-oolAS\Desktop\ProjectManagement_c12IV.17\2019 г\1. Модуль паспортизация\Национальные проекты\Региональные проекты\БКАД\"/>
    </mc:Choice>
  </mc:AlternateContent>
  <bookViews>
    <workbookView xWindow="0" yWindow="0" windowWidth="21600" windowHeight="9645" tabRatio="752" activeTab="6"/>
  </bookViews>
  <sheets>
    <sheet name="Таблица № 1" sheetId="21" r:id="rId1"/>
    <sheet name="Таблица №2" sheetId="19" r:id="rId2"/>
    <sheet name="Таблица №3" sheetId="3" r:id="rId3"/>
    <sheet name="Таблица №4" sheetId="4" r:id="rId4"/>
    <sheet name="Таблица №5" sheetId="5" r:id="rId5"/>
    <sheet name="Таблица №6 " sheetId="17" r:id="rId6"/>
    <sheet name="Таблица №7" sheetId="7" r:id="rId7"/>
    <sheet name="Таблица №8 " sheetId="18" state="hidden" r:id="rId8"/>
  </sheets>
  <definedNames>
    <definedName name="_xlnm._FilterDatabase" localSheetId="0" hidden="1">'Таблица № 1'!#REF!</definedName>
    <definedName name="_xlnm.Print_Titles" localSheetId="5">'Таблица №6 '!$2:$7</definedName>
    <definedName name="_xlnm.Print_Area" localSheetId="0">'Таблица № 1'!$A$1:$AQ$138</definedName>
    <definedName name="_xlnm.Print_Area" localSheetId="1">'Таблица №2'!$A$1:$AR$285</definedName>
    <definedName name="_xlnm.Print_Area" localSheetId="2">'Таблица №3'!$A$1:$L$24</definedName>
    <definedName name="_xlnm.Print_Area" localSheetId="3">'Таблица №4'!$A$1:$S$45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8" i="21" l="1"/>
  <c r="S176" i="19"/>
  <c r="Y176" i="19" s="1"/>
  <c r="AE176" i="19" s="1"/>
  <c r="AK176" i="19" s="1"/>
  <c r="AQ176" i="19" s="1"/>
  <c r="M176" i="19"/>
  <c r="AQ189" i="19"/>
  <c r="AK189" i="19"/>
  <c r="AE189" i="19"/>
  <c r="Y189" i="19"/>
  <c r="S189" i="19"/>
  <c r="AP60" i="21"/>
  <c r="AJ57" i="21"/>
  <c r="AH58" i="21"/>
  <c r="AJ60" i="21"/>
  <c r="AH57" i="21"/>
  <c r="AD57" i="21"/>
  <c r="AB57" i="21"/>
  <c r="AB58" i="21"/>
  <c r="AD60" i="21"/>
  <c r="AN77" i="21"/>
  <c r="AH77" i="21"/>
  <c r="AB77" i="21"/>
  <c r="V77" i="21"/>
  <c r="P77" i="21"/>
  <c r="R120" i="21"/>
  <c r="P120" i="21"/>
  <c r="P125" i="21" s="1"/>
  <c r="R124" i="21" s="1"/>
  <c r="P114" i="21"/>
  <c r="P121" i="21" s="1"/>
  <c r="L84" i="21"/>
  <c r="J84" i="21"/>
  <c r="R104" i="21"/>
  <c r="P84" i="21"/>
  <c r="P124" i="21" l="1"/>
  <c r="X60" i="21" l="1"/>
  <c r="X17" i="21"/>
  <c r="X27" i="21"/>
  <c r="AB32" i="21"/>
  <c r="R60" i="21"/>
  <c r="P89" i="21"/>
  <c r="R89" i="21"/>
  <c r="R84" i="21"/>
  <c r="L93" i="21"/>
  <c r="L120" i="21"/>
  <c r="J120" i="21"/>
  <c r="J125" i="21" s="1"/>
  <c r="L124" i="21" s="1"/>
  <c r="J112" i="21"/>
  <c r="F111" i="21" s="1"/>
  <c r="J114" i="21"/>
  <c r="L91" i="21"/>
  <c r="J91" i="21"/>
  <c r="L89" i="21"/>
  <c r="J89" i="21"/>
  <c r="J77" i="21"/>
  <c r="J92" i="21" s="1"/>
  <c r="J83" i="21"/>
  <c r="F82" i="21" s="1"/>
  <c r="J81" i="21"/>
  <c r="F80" i="21" s="1"/>
  <c r="J79" i="21"/>
  <c r="J90" i="21" s="1"/>
  <c r="J121" i="21" l="1"/>
  <c r="F76" i="21"/>
  <c r="J124" i="21"/>
  <c r="P93" i="21"/>
  <c r="P94" i="21"/>
  <c r="R93" i="21" s="1"/>
  <c r="P75" i="21"/>
  <c r="P90" i="21" s="1"/>
  <c r="E78" i="7" l="1"/>
  <c r="J73" i="5"/>
  <c r="L73" i="5" s="1"/>
  <c r="J72" i="5"/>
  <c r="L72" i="5" s="1"/>
  <c r="J71" i="5"/>
  <c r="L70" i="5"/>
  <c r="AR7" i="21"/>
  <c r="AN53" i="21"/>
  <c r="AH53" i="21"/>
  <c r="AB53" i="21"/>
  <c r="V53" i="21"/>
  <c r="V52" i="21"/>
  <c r="X51" i="21"/>
  <c r="V51" i="21"/>
  <c r="R51" i="21"/>
  <c r="P51" i="21"/>
  <c r="AH50" i="21"/>
  <c r="AP49" i="21"/>
  <c r="AN49" i="21"/>
  <c r="AJ49" i="21"/>
  <c r="AH49" i="21"/>
  <c r="X49" i="21"/>
  <c r="V49" i="21"/>
  <c r="L49" i="21"/>
  <c r="J49" i="21"/>
  <c r="AN48" i="21"/>
  <c r="AH48" i="21"/>
  <c r="AB48" i="21"/>
  <c r="V48" i="21"/>
  <c r="P48" i="21"/>
  <c r="J48" i="21"/>
  <c r="AN46" i="21"/>
  <c r="AN50" i="21" s="1"/>
  <c r="AR45" i="21"/>
  <c r="F45" i="21"/>
  <c r="AN44" i="21"/>
  <c r="AH44" i="21"/>
  <c r="AR43" i="21"/>
  <c r="AP43" i="21"/>
  <c r="F43" i="21"/>
  <c r="AN42" i="21"/>
  <c r="AH42" i="21"/>
  <c r="AR41" i="21"/>
  <c r="AP41" i="21"/>
  <c r="AJ41" i="21"/>
  <c r="F41" i="21"/>
  <c r="AN40" i="21"/>
  <c r="AH40" i="21"/>
  <c r="AR39" i="21"/>
  <c r="AP39" i="21"/>
  <c r="F39" i="21"/>
  <c r="AN38" i="21"/>
  <c r="AH38" i="21"/>
  <c r="AB38" i="21"/>
  <c r="AR37" i="21"/>
  <c r="AJ37" i="21"/>
  <c r="AP37" i="21" s="1"/>
  <c r="AD37" i="21"/>
  <c r="F37" i="21"/>
  <c r="AN36" i="21"/>
  <c r="AH36" i="21"/>
  <c r="AB36" i="21"/>
  <c r="AR35" i="21"/>
  <c r="AP35" i="21"/>
  <c r="AJ35" i="21"/>
  <c r="AD35" i="21"/>
  <c r="F35" i="21"/>
  <c r="AN34" i="21"/>
  <c r="AN54" i="21" s="1"/>
  <c r="AH34" i="21"/>
  <c r="AB34" i="21"/>
  <c r="AR33" i="21"/>
  <c r="AJ33" i="21"/>
  <c r="AP33" i="21" s="1"/>
  <c r="AP48" i="21" s="1"/>
  <c r="AD33" i="21"/>
  <c r="F33" i="21"/>
  <c r="AH32" i="21"/>
  <c r="AR31" i="21"/>
  <c r="AJ31" i="21"/>
  <c r="AD31" i="21"/>
  <c r="F31" i="21"/>
  <c r="AH30" i="21"/>
  <c r="AB30" i="21"/>
  <c r="V30" i="21"/>
  <c r="AR29" i="21"/>
  <c r="AJ29" i="21"/>
  <c r="AD29" i="21"/>
  <c r="F29" i="21"/>
  <c r="V28" i="21"/>
  <c r="AR27" i="21"/>
  <c r="F27" i="21"/>
  <c r="V26" i="21"/>
  <c r="AR25" i="21"/>
  <c r="F25" i="21"/>
  <c r="V24" i="21"/>
  <c r="AR23" i="21"/>
  <c r="F23" i="21"/>
  <c r="AB22" i="21"/>
  <c r="V22" i="21"/>
  <c r="P22" i="21"/>
  <c r="AR21" i="21"/>
  <c r="AD21" i="21"/>
  <c r="AD48" i="21" s="1"/>
  <c r="X21" i="21"/>
  <c r="X48" i="21" s="1"/>
  <c r="R21" i="21"/>
  <c r="F21" i="21"/>
  <c r="V20" i="21"/>
  <c r="P20" i="21"/>
  <c r="AR19" i="21"/>
  <c r="R19" i="21"/>
  <c r="F19" i="21"/>
  <c r="V18" i="21"/>
  <c r="P18" i="21"/>
  <c r="AR17" i="21"/>
  <c r="X53" i="21"/>
  <c r="R17" i="21"/>
  <c r="F17" i="21"/>
  <c r="P16" i="21"/>
  <c r="AR15" i="21"/>
  <c r="F15" i="21"/>
  <c r="P14" i="21"/>
  <c r="P52" i="21" s="1"/>
  <c r="J14" i="21"/>
  <c r="AR13" i="21"/>
  <c r="F13" i="21"/>
  <c r="J12" i="21"/>
  <c r="AR11" i="21"/>
  <c r="F11" i="21"/>
  <c r="J10" i="21"/>
  <c r="AR9" i="21"/>
  <c r="F9" i="21"/>
  <c r="V8" i="21"/>
  <c r="V50" i="21" s="1"/>
  <c r="J8" i="21"/>
  <c r="F7" i="21"/>
  <c r="R48" i="21" l="1"/>
  <c r="AJ48" i="21"/>
  <c r="AN58" i="21"/>
  <c r="AP57" i="21" s="1"/>
  <c r="AN57" i="21"/>
  <c r="P58" i="21"/>
  <c r="R57" i="21" s="1"/>
  <c r="P57" i="21"/>
  <c r="R53" i="21"/>
  <c r="AB54" i="21"/>
  <c r="V54" i="21"/>
  <c r="AH54" i="21"/>
  <c r="AJ53" i="21"/>
  <c r="AR48" i="21"/>
  <c r="J50" i="21"/>
  <c r="AP53" i="21"/>
  <c r="AD53" i="21"/>
  <c r="K116" i="17"/>
  <c r="D98" i="18"/>
  <c r="D99" i="18" s="1"/>
  <c r="AI183" i="19"/>
  <c r="W183" i="19"/>
  <c r="AI182" i="19"/>
  <c r="W182" i="19"/>
  <c r="S182" i="19"/>
  <c r="Q182" i="19"/>
  <c r="M182" i="19"/>
  <c r="K182" i="19"/>
  <c r="AO181" i="19"/>
  <c r="AI181" i="19"/>
  <c r="AO180" i="19"/>
  <c r="AI180" i="19"/>
  <c r="AS180" i="19" s="1"/>
  <c r="AC179" i="19"/>
  <c r="AO178" i="19"/>
  <c r="AI178" i="19"/>
  <c r="AC178" i="19"/>
  <c r="W178" i="19"/>
  <c r="Q178" i="19"/>
  <c r="K178" i="19"/>
  <c r="AK172" i="19"/>
  <c r="AK153" i="19" s="1"/>
  <c r="AK170" i="19"/>
  <c r="AE168" i="19"/>
  <c r="AE166" i="19"/>
  <c r="Y164" i="19"/>
  <c r="W163" i="19"/>
  <c r="Y162" i="19"/>
  <c r="G162" i="19"/>
  <c r="E162" i="19"/>
  <c r="S160" i="19"/>
  <c r="S158" i="19"/>
  <c r="K157" i="19"/>
  <c r="M156" i="19"/>
  <c r="G156" i="19"/>
  <c r="E156" i="19"/>
  <c r="K155" i="19"/>
  <c r="M154" i="19"/>
  <c r="M153" i="19" s="1"/>
  <c r="G154" i="19"/>
  <c r="E154" i="19"/>
  <c r="AQ153" i="19"/>
  <c r="AO153" i="19"/>
  <c r="AI153" i="19"/>
  <c r="AC153" i="19"/>
  <c r="W153" i="19"/>
  <c r="Q153" i="19"/>
  <c r="K153" i="19"/>
  <c r="AQ151" i="19"/>
  <c r="G151" i="19"/>
  <c r="E151" i="19"/>
  <c r="AQ149" i="19"/>
  <c r="G149" i="19"/>
  <c r="E149" i="19"/>
  <c r="AQ147" i="19"/>
  <c r="G147" i="19"/>
  <c r="E147" i="19"/>
  <c r="AK145" i="19"/>
  <c r="G145" i="19"/>
  <c r="E145" i="19"/>
  <c r="AK143" i="19"/>
  <c r="G143" i="19"/>
  <c r="E143" i="19"/>
  <c r="AK141" i="19"/>
  <c r="G141" i="19"/>
  <c r="E141" i="19"/>
  <c r="AE139" i="19"/>
  <c r="G139" i="19"/>
  <c r="E139" i="19"/>
  <c r="AE137" i="19"/>
  <c r="AE112" i="19" s="1"/>
  <c r="G137" i="19"/>
  <c r="E137" i="19"/>
  <c r="Y135" i="19"/>
  <c r="G135" i="19"/>
  <c r="E135" i="19"/>
  <c r="Y133" i="19"/>
  <c r="G133" i="19"/>
  <c r="E133" i="19"/>
  <c r="Y131" i="19"/>
  <c r="G131" i="19"/>
  <c r="E131" i="19"/>
  <c r="Y129" i="19"/>
  <c r="G129" i="19"/>
  <c r="E129" i="19"/>
  <c r="S127" i="19"/>
  <c r="G127" i="19"/>
  <c r="E127" i="19"/>
  <c r="Q126" i="19"/>
  <c r="S125" i="19"/>
  <c r="G125" i="19"/>
  <c r="E125" i="19"/>
  <c r="Q124" i="19"/>
  <c r="S123" i="19"/>
  <c r="G123" i="19"/>
  <c r="E123" i="19"/>
  <c r="Q122" i="19"/>
  <c r="S121" i="19"/>
  <c r="G121" i="19"/>
  <c r="E121" i="19"/>
  <c r="K120" i="19"/>
  <c r="M119" i="19"/>
  <c r="G119" i="19"/>
  <c r="E119" i="19"/>
  <c r="K118" i="19"/>
  <c r="M117" i="19"/>
  <c r="G117" i="19"/>
  <c r="E117" i="19"/>
  <c r="K116" i="19"/>
  <c r="M115" i="19"/>
  <c r="G115" i="19"/>
  <c r="E115" i="19"/>
  <c r="K114" i="19"/>
  <c r="M113" i="19"/>
  <c r="M112" i="19" s="1"/>
  <c r="G113" i="19"/>
  <c r="E113" i="19"/>
  <c r="AO112" i="19"/>
  <c r="AI112" i="19"/>
  <c r="AC112" i="19"/>
  <c r="W112" i="19"/>
  <c r="S112" i="19"/>
  <c r="Q112" i="19"/>
  <c r="K112" i="19"/>
  <c r="AQ110" i="19"/>
  <c r="AQ108" i="19"/>
  <c r="AQ106" i="19"/>
  <c r="AO105" i="19"/>
  <c r="F104" i="19"/>
  <c r="G104" i="19" s="1"/>
  <c r="E104" i="19"/>
  <c r="AO103" i="19"/>
  <c r="AQ102" i="19"/>
  <c r="G102" i="19"/>
  <c r="E102" i="19"/>
  <c r="AO101" i="19"/>
  <c r="AQ100" i="19"/>
  <c r="G100" i="19"/>
  <c r="E100" i="19"/>
  <c r="AQ98" i="19"/>
  <c r="AQ96" i="19"/>
  <c r="AQ9" i="19" s="1"/>
  <c r="G96" i="19"/>
  <c r="AK94" i="19"/>
  <c r="S94" i="19"/>
  <c r="G94" i="19"/>
  <c r="F94" i="19"/>
  <c r="AK92" i="19"/>
  <c r="AK180" i="19" s="1"/>
  <c r="S92" i="19"/>
  <c r="AK88" i="19"/>
  <c r="AK86" i="19"/>
  <c r="AK182" i="19" s="1"/>
  <c r="AK84" i="19"/>
  <c r="F84" i="19"/>
  <c r="AI83" i="19"/>
  <c r="AI179" i="19" s="1"/>
  <c r="AK82" i="19"/>
  <c r="G82" i="19"/>
  <c r="E82" i="19"/>
  <c r="AE80" i="19"/>
  <c r="AE78" i="19"/>
  <c r="F78" i="19"/>
  <c r="AE76" i="19"/>
  <c r="F76" i="19"/>
  <c r="AE74" i="19"/>
  <c r="AE72" i="19"/>
  <c r="AE70" i="19"/>
  <c r="AE68" i="19"/>
  <c r="AE64" i="19"/>
  <c r="W63" i="19"/>
  <c r="Y62" i="19"/>
  <c r="F62" i="19"/>
  <c r="G62" i="19" s="1"/>
  <c r="E62" i="19"/>
  <c r="W61" i="19"/>
  <c r="Y60" i="19"/>
  <c r="F60" i="19"/>
  <c r="G60" i="19" s="1"/>
  <c r="E60" i="19"/>
  <c r="Y58" i="19"/>
  <c r="Y56" i="19"/>
  <c r="Y54" i="19"/>
  <c r="Y52" i="19"/>
  <c r="Y182" i="19" s="1"/>
  <c r="W51" i="19"/>
  <c r="Y50" i="19"/>
  <c r="Y48" i="19"/>
  <c r="W47" i="19"/>
  <c r="Y46" i="19"/>
  <c r="F46" i="19"/>
  <c r="G46" i="19" s="1"/>
  <c r="E46" i="19"/>
  <c r="W45" i="19"/>
  <c r="Y44" i="19"/>
  <c r="G44" i="19"/>
  <c r="E44" i="19"/>
  <c r="Q43" i="19"/>
  <c r="S42" i="19"/>
  <c r="G42" i="19"/>
  <c r="E42" i="19"/>
  <c r="Q41" i="19"/>
  <c r="S40" i="19"/>
  <c r="Q39" i="19"/>
  <c r="S38" i="19"/>
  <c r="Q37" i="19"/>
  <c r="S36" i="19"/>
  <c r="Q35" i="19"/>
  <c r="S34" i="19"/>
  <c r="Q33" i="19"/>
  <c r="S32" i="19"/>
  <c r="M32" i="19"/>
  <c r="Q31" i="19"/>
  <c r="Q183" i="19" s="1"/>
  <c r="K31" i="19"/>
  <c r="K183" i="19" s="1"/>
  <c r="G30" i="19"/>
  <c r="E30" i="19"/>
  <c r="S28" i="19"/>
  <c r="S9" i="19" s="1"/>
  <c r="M28" i="19"/>
  <c r="G28" i="19"/>
  <c r="E28" i="19"/>
  <c r="K27" i="19"/>
  <c r="M26" i="19"/>
  <c r="G26" i="19"/>
  <c r="E26" i="19"/>
  <c r="K25" i="19"/>
  <c r="M24" i="19"/>
  <c r="G24" i="19"/>
  <c r="M22" i="19"/>
  <c r="K21" i="19"/>
  <c r="M20" i="19"/>
  <c r="G20" i="19"/>
  <c r="E20" i="19"/>
  <c r="K19" i="19"/>
  <c r="M18" i="19"/>
  <c r="G18" i="19"/>
  <c r="E18" i="19"/>
  <c r="K17" i="19"/>
  <c r="M16" i="19"/>
  <c r="G16" i="19"/>
  <c r="E16" i="19"/>
  <c r="K15" i="19"/>
  <c r="M14" i="19"/>
  <c r="G14" i="19"/>
  <c r="E14" i="19"/>
  <c r="K13" i="19"/>
  <c r="M12" i="19"/>
  <c r="G12" i="19"/>
  <c r="E12" i="19"/>
  <c r="K11" i="19"/>
  <c r="M10" i="19"/>
  <c r="G10" i="19"/>
  <c r="E10" i="19"/>
  <c r="AT9" i="19"/>
  <c r="AO9" i="19"/>
  <c r="AI9" i="19"/>
  <c r="AC9" i="19"/>
  <c r="AC177" i="19" s="1"/>
  <c r="W9" i="19"/>
  <c r="Q9" i="19"/>
  <c r="K9" i="19"/>
  <c r="Q187" i="19" l="1"/>
  <c r="S186" i="19" s="1"/>
  <c r="Q186" i="19"/>
  <c r="AC187" i="19"/>
  <c r="AE186" i="19" s="1"/>
  <c r="AC186" i="19"/>
  <c r="AO187" i="19"/>
  <c r="AQ186" i="19" s="1"/>
  <c r="AO186" i="19"/>
  <c r="M178" i="19"/>
  <c r="Q179" i="19"/>
  <c r="W179" i="19"/>
  <c r="AE178" i="19"/>
  <c r="AK9" i="19"/>
  <c r="AQ112" i="19"/>
  <c r="K186" i="19"/>
  <c r="K189" i="19"/>
  <c r="M189" i="19" s="1"/>
  <c r="K187" i="19"/>
  <c r="M186" i="19" s="1"/>
  <c r="W187" i="19"/>
  <c r="Y186" i="19" s="1"/>
  <c r="W186" i="19"/>
  <c r="AI187" i="19"/>
  <c r="AK186" i="19" s="1"/>
  <c r="AI186" i="19"/>
  <c r="AQ177" i="19"/>
  <c r="Q177" i="19"/>
  <c r="AE9" i="19"/>
  <c r="Y9" i="19"/>
  <c r="AU9" i="19" s="1"/>
  <c r="AS112" i="19"/>
  <c r="Y112" i="19"/>
  <c r="AK112" i="19"/>
  <c r="AS153" i="19"/>
  <c r="AO177" i="19"/>
  <c r="S153" i="19"/>
  <c r="S177" i="19" s="1"/>
  <c r="Y153" i="19"/>
  <c r="AE153" i="19"/>
  <c r="AE177" i="19" s="1"/>
  <c r="K177" i="19"/>
  <c r="AI177" i="19"/>
  <c r="M9" i="19"/>
  <c r="M177" i="19" s="1"/>
  <c r="AS182" i="19"/>
  <c r="W177" i="19"/>
  <c r="K179" i="19"/>
  <c r="S178" i="19"/>
  <c r="AS178" i="19"/>
  <c r="AO179" i="19"/>
  <c r="Y178" i="19"/>
  <c r="AK178" i="19"/>
  <c r="AQ178" i="19"/>
  <c r="AQ180" i="19"/>
  <c r="AS9" i="19"/>
  <c r="AK177" i="19" l="1"/>
  <c r="AT178" i="19"/>
  <c r="Y177" i="19"/>
  <c r="AU178" i="19"/>
  <c r="G98" i="18"/>
  <c r="G99" i="18" s="1"/>
  <c r="H64" i="18"/>
  <c r="N122" i="17"/>
  <c r="L122" i="17"/>
  <c r="J122" i="17"/>
  <c r="N121" i="17"/>
  <c r="L121" i="17"/>
  <c r="J121" i="17"/>
  <c r="N120" i="17"/>
  <c r="L120" i="17"/>
  <c r="J120" i="17"/>
  <c r="N119" i="17"/>
  <c r="L119" i="17"/>
  <c r="J119" i="17"/>
  <c r="N118" i="17"/>
  <c r="L118" i="17"/>
  <c r="J118" i="17"/>
  <c r="N117" i="17"/>
  <c r="L117" i="17"/>
  <c r="J117" i="17"/>
  <c r="N116" i="17"/>
  <c r="L116" i="17"/>
  <c r="J116" i="17"/>
  <c r="N115" i="17"/>
  <c r="L115" i="17"/>
  <c r="J115" i="17"/>
  <c r="N114" i="17"/>
  <c r="L114" i="17"/>
  <c r="J114" i="17"/>
  <c r="N113" i="17"/>
  <c r="L113" i="17"/>
  <c r="J113" i="17"/>
  <c r="N112" i="17"/>
  <c r="L112" i="17"/>
  <c r="J112" i="17"/>
  <c r="M111" i="17"/>
  <c r="K111" i="17"/>
  <c r="I111" i="17"/>
  <c r="E111" i="17"/>
  <c r="D111" i="17"/>
  <c r="N110" i="17"/>
  <c r="L110" i="17"/>
  <c r="J110" i="17"/>
  <c r="N109" i="17"/>
  <c r="L109" i="17"/>
  <c r="J109" i="17"/>
  <c r="N108" i="17"/>
  <c r="L108" i="17"/>
  <c r="J108" i="17"/>
  <c r="N107" i="17"/>
  <c r="L107" i="17"/>
  <c r="J107" i="17"/>
  <c r="N106" i="17"/>
  <c r="L106" i="17"/>
  <c r="J106" i="17"/>
  <c r="N105" i="17"/>
  <c r="L105" i="17"/>
  <c r="J105" i="17"/>
  <c r="N104" i="17"/>
  <c r="L104" i="17"/>
  <c r="J104" i="17"/>
  <c r="N103" i="17"/>
  <c r="L103" i="17"/>
  <c r="J103" i="17"/>
  <c r="N102" i="17"/>
  <c r="L102" i="17"/>
  <c r="J102" i="17"/>
  <c r="N101" i="17"/>
  <c r="L101" i="17"/>
  <c r="J101" i="17"/>
  <c r="N100" i="17"/>
  <c r="L100" i="17"/>
  <c r="J100" i="17"/>
  <c r="N99" i="17"/>
  <c r="L99" i="17"/>
  <c r="J99" i="17"/>
  <c r="N98" i="17"/>
  <c r="L98" i="17"/>
  <c r="J98" i="17"/>
  <c r="N97" i="17"/>
  <c r="L97" i="17"/>
  <c r="J97" i="17"/>
  <c r="N96" i="17"/>
  <c r="L96" i="17"/>
  <c r="J96" i="17"/>
  <c r="N95" i="17"/>
  <c r="L95" i="17"/>
  <c r="J95" i="17"/>
  <c r="N94" i="17"/>
  <c r="L94" i="17"/>
  <c r="J94" i="17"/>
  <c r="N93" i="17"/>
  <c r="L93" i="17"/>
  <c r="J93" i="17"/>
  <c r="N92" i="17"/>
  <c r="L92" i="17"/>
  <c r="J92" i="17"/>
  <c r="J90" i="17" s="1"/>
  <c r="N91" i="17"/>
  <c r="L91" i="17"/>
  <c r="J91" i="17"/>
  <c r="M90" i="17"/>
  <c r="N90" i="17" s="1"/>
  <c r="K90" i="17"/>
  <c r="I90" i="17"/>
  <c r="E90" i="17"/>
  <c r="D90" i="17"/>
  <c r="N89" i="17"/>
  <c r="L89" i="17"/>
  <c r="J89" i="17"/>
  <c r="N88" i="17"/>
  <c r="L88" i="17"/>
  <c r="J88" i="17"/>
  <c r="N87" i="17"/>
  <c r="L87" i="17"/>
  <c r="J87" i="17"/>
  <c r="N86" i="17"/>
  <c r="L86" i="17"/>
  <c r="J86" i="17"/>
  <c r="N85" i="17"/>
  <c r="L85" i="17"/>
  <c r="J85" i="17"/>
  <c r="N84" i="17"/>
  <c r="L84" i="17"/>
  <c r="J84" i="17"/>
  <c r="N83" i="17"/>
  <c r="L83" i="17"/>
  <c r="J83" i="17"/>
  <c r="N82" i="17"/>
  <c r="L82" i="17"/>
  <c r="J82" i="17"/>
  <c r="N81" i="17"/>
  <c r="L81" i="17"/>
  <c r="J81" i="17"/>
  <c r="N80" i="17"/>
  <c r="L80" i="17"/>
  <c r="J80" i="17"/>
  <c r="N79" i="17"/>
  <c r="L79" i="17"/>
  <c r="J79" i="17"/>
  <c r="N78" i="17"/>
  <c r="L78" i="17"/>
  <c r="J78" i="17"/>
  <c r="N77" i="17"/>
  <c r="L77" i="17"/>
  <c r="J77" i="17"/>
  <c r="N76" i="17"/>
  <c r="L76" i="17"/>
  <c r="J76" i="17"/>
  <c r="N75" i="17"/>
  <c r="L75" i="17"/>
  <c r="J75" i="17"/>
  <c r="N74" i="17"/>
  <c r="L74" i="17"/>
  <c r="J74" i="17"/>
  <c r="N73" i="17"/>
  <c r="L73" i="17"/>
  <c r="J73" i="17"/>
  <c r="N72" i="17"/>
  <c r="L72" i="17"/>
  <c r="J72" i="17"/>
  <c r="N71" i="17"/>
  <c r="L71" i="17"/>
  <c r="J71" i="17"/>
  <c r="N70" i="17"/>
  <c r="L70" i="17"/>
  <c r="J70" i="17"/>
  <c r="N69" i="17"/>
  <c r="L69" i="17"/>
  <c r="J69" i="17"/>
  <c r="N68" i="17"/>
  <c r="L68" i="17"/>
  <c r="J68" i="17"/>
  <c r="N67" i="17"/>
  <c r="L67" i="17"/>
  <c r="J67" i="17"/>
  <c r="N66" i="17"/>
  <c r="L66" i="17"/>
  <c r="J66" i="17"/>
  <c r="N65" i="17"/>
  <c r="L65" i="17"/>
  <c r="J65" i="17"/>
  <c r="N64" i="17"/>
  <c r="L64" i="17"/>
  <c r="J64" i="17"/>
  <c r="N63" i="17"/>
  <c r="L63" i="17"/>
  <c r="J63" i="17"/>
  <c r="N62" i="17"/>
  <c r="L62" i="17"/>
  <c r="J62" i="17"/>
  <c r="N61" i="17"/>
  <c r="L61" i="17"/>
  <c r="J61" i="17"/>
  <c r="N60" i="17"/>
  <c r="L60" i="17"/>
  <c r="J60" i="17"/>
  <c r="N59" i="17"/>
  <c r="L59" i="17"/>
  <c r="J59" i="17"/>
  <c r="N58" i="17"/>
  <c r="L58" i="17"/>
  <c r="J58" i="17"/>
  <c r="N57" i="17"/>
  <c r="L57" i="17"/>
  <c r="J57" i="17"/>
  <c r="N56" i="17"/>
  <c r="L56" i="17"/>
  <c r="J56" i="17"/>
  <c r="N55" i="17"/>
  <c r="L55" i="17"/>
  <c r="J55" i="17"/>
  <c r="N54" i="17"/>
  <c r="L54" i="17"/>
  <c r="J54" i="17"/>
  <c r="N53" i="17"/>
  <c r="L53" i="17"/>
  <c r="J53" i="17"/>
  <c r="N52" i="17"/>
  <c r="L52" i="17"/>
  <c r="J52" i="17"/>
  <c r="N51" i="17"/>
  <c r="L51" i="17"/>
  <c r="J51" i="17"/>
  <c r="N50" i="17"/>
  <c r="L50" i="17"/>
  <c r="J50" i="17"/>
  <c r="N49" i="17"/>
  <c r="L49" i="17"/>
  <c r="J49" i="17"/>
  <c r="N48" i="17"/>
  <c r="L48" i="17"/>
  <c r="J48" i="17"/>
  <c r="N47" i="17"/>
  <c r="L47" i="17"/>
  <c r="J47" i="17"/>
  <c r="N46" i="17"/>
  <c r="L46" i="17"/>
  <c r="J46" i="17"/>
  <c r="N45" i="17"/>
  <c r="L45" i="17"/>
  <c r="J45" i="17"/>
  <c r="N44" i="17"/>
  <c r="L44" i="17"/>
  <c r="J44" i="17"/>
  <c r="N43" i="17"/>
  <c r="L43" i="17"/>
  <c r="J43" i="17"/>
  <c r="N42" i="17"/>
  <c r="L42" i="17"/>
  <c r="J42" i="17"/>
  <c r="N41" i="17"/>
  <c r="L41" i="17"/>
  <c r="J41" i="17"/>
  <c r="N40" i="17"/>
  <c r="L40" i="17"/>
  <c r="J40" i="17"/>
  <c r="N39" i="17"/>
  <c r="L39" i="17"/>
  <c r="J39" i="17"/>
  <c r="N38" i="17"/>
  <c r="L38" i="17"/>
  <c r="J38" i="17"/>
  <c r="N37" i="17"/>
  <c r="L37" i="17"/>
  <c r="J37" i="17"/>
  <c r="N36" i="17"/>
  <c r="L36" i="17"/>
  <c r="J36" i="17"/>
  <c r="N35" i="17"/>
  <c r="L35" i="17"/>
  <c r="J35" i="17"/>
  <c r="N34" i="17"/>
  <c r="L34" i="17"/>
  <c r="J34" i="17"/>
  <c r="N33" i="17"/>
  <c r="L33" i="17"/>
  <c r="J33" i="17"/>
  <c r="N32" i="17"/>
  <c r="L32" i="17"/>
  <c r="J32" i="17"/>
  <c r="N31" i="17"/>
  <c r="L31" i="17"/>
  <c r="J31" i="17"/>
  <c r="N30" i="17"/>
  <c r="L30" i="17"/>
  <c r="J30" i="17"/>
  <c r="N29" i="17"/>
  <c r="L29" i="17"/>
  <c r="J29" i="17"/>
  <c r="N28" i="17"/>
  <c r="L28" i="17"/>
  <c r="J28" i="17"/>
  <c r="N27" i="17"/>
  <c r="L27" i="17"/>
  <c r="J27" i="17"/>
  <c r="N26" i="17"/>
  <c r="L26" i="17"/>
  <c r="J26" i="17"/>
  <c r="N25" i="17"/>
  <c r="L25" i="17"/>
  <c r="J25" i="17"/>
  <c r="N24" i="17"/>
  <c r="L24" i="17"/>
  <c r="J24" i="17"/>
  <c r="J23" i="17"/>
  <c r="E23" i="17"/>
  <c r="N23" i="17" s="1"/>
  <c r="N22" i="17"/>
  <c r="L22" i="17"/>
  <c r="J22" i="17"/>
  <c r="N21" i="17"/>
  <c r="L21" i="17"/>
  <c r="J21" i="17"/>
  <c r="N20" i="17"/>
  <c r="L20" i="17"/>
  <c r="J20" i="17"/>
  <c r="N19" i="17"/>
  <c r="L19" i="17"/>
  <c r="J19" i="17"/>
  <c r="M18" i="17"/>
  <c r="K18" i="17"/>
  <c r="I18" i="17"/>
  <c r="F18" i="17"/>
  <c r="D18" i="17"/>
  <c r="M16" i="17"/>
  <c r="K16" i="17"/>
  <c r="I16" i="17"/>
  <c r="E16" i="17"/>
  <c r="D16" i="17"/>
  <c r="N15" i="17"/>
  <c r="L15" i="17"/>
  <c r="J15" i="17"/>
  <c r="N14" i="17"/>
  <c r="L14" i="17"/>
  <c r="J14" i="17"/>
  <c r="N13" i="17"/>
  <c r="L13" i="17"/>
  <c r="J13" i="17"/>
  <c r="N12" i="17"/>
  <c r="L12" i="17"/>
  <c r="J12" i="17"/>
  <c r="N10" i="17"/>
  <c r="L10" i="17"/>
  <c r="E10" i="17"/>
  <c r="D10" i="17"/>
  <c r="I9" i="17"/>
  <c r="I10" i="17" s="1"/>
  <c r="K123" i="17" l="1"/>
  <c r="L90" i="17"/>
  <c r="L16" i="17"/>
  <c r="D123" i="17"/>
  <c r="D124" i="17" s="1"/>
  <c r="L111" i="17"/>
  <c r="J16" i="17"/>
  <c r="N16" i="17"/>
  <c r="E18" i="17"/>
  <c r="E123" i="17" s="1"/>
  <c r="E124" i="17" s="1"/>
  <c r="I123" i="17"/>
  <c r="J123" i="17" s="1"/>
  <c r="M123" i="17"/>
  <c r="N123" i="17" s="1"/>
  <c r="J111" i="17"/>
  <c r="N111" i="17"/>
  <c r="J10" i="17"/>
  <c r="J9" i="17"/>
  <c r="K9" i="17"/>
  <c r="K10" i="17" s="1"/>
  <c r="K124" i="17" s="1"/>
  <c r="M9" i="17"/>
  <c r="M10" i="17" s="1"/>
  <c r="M124" i="17" s="1"/>
  <c r="J18" i="17"/>
  <c r="L18" i="17"/>
  <c r="N18" i="17"/>
  <c r="L23" i="17"/>
  <c r="I124" i="17" l="1"/>
  <c r="L123" i="17"/>
  <c r="J124" i="17"/>
  <c r="L124" i="17"/>
  <c r="N124" i="17"/>
  <c r="L71" i="5" l="1"/>
  <c r="M89" i="5"/>
  <c r="D90" i="5"/>
  <c r="H90" i="5"/>
  <c r="I90" i="5" l="1"/>
  <c r="J90" i="5"/>
  <c r="K90" i="5" s="1"/>
  <c r="L90" i="5" l="1"/>
  <c r="M90" i="5" s="1"/>
  <c r="H78" i="7"/>
  <c r="M71" i="5" l="1"/>
  <c r="M8" i="5"/>
  <c r="M81" i="5"/>
  <c r="M9" i="5"/>
  <c r="M10" i="5"/>
  <c r="M78" i="5"/>
  <c r="M11" i="5"/>
  <c r="M12" i="5"/>
  <c r="M13" i="5"/>
  <c r="M14" i="5"/>
  <c r="M15" i="5"/>
  <c r="M16" i="5"/>
  <c r="M17" i="5"/>
  <c r="M82" i="5"/>
  <c r="M18" i="5"/>
  <c r="M19" i="5"/>
  <c r="M20" i="5"/>
  <c r="M21" i="5"/>
  <c r="M22" i="5"/>
  <c r="M23" i="5"/>
  <c r="M24" i="5"/>
  <c r="M25" i="5"/>
  <c r="M26" i="5"/>
  <c r="M74" i="5"/>
  <c r="M27" i="5"/>
  <c r="M28" i="5"/>
  <c r="M29" i="5"/>
  <c r="M30" i="5"/>
  <c r="M31" i="5"/>
  <c r="M32" i="5"/>
  <c r="M33" i="5"/>
  <c r="M76" i="5"/>
  <c r="M34" i="5"/>
  <c r="M77" i="5"/>
  <c r="M85" i="5"/>
  <c r="M80" i="5"/>
  <c r="M35" i="5"/>
  <c r="M36" i="5"/>
  <c r="M37" i="5"/>
  <c r="M38" i="5"/>
  <c r="M39" i="5"/>
  <c r="M40" i="5"/>
  <c r="M41" i="5"/>
  <c r="M42" i="5"/>
  <c r="M43" i="5"/>
  <c r="M44" i="5"/>
  <c r="M45" i="5"/>
  <c r="M79" i="5"/>
  <c r="M46" i="5"/>
  <c r="M47" i="5"/>
  <c r="M48" i="5"/>
  <c r="M49" i="5"/>
  <c r="M50" i="5"/>
  <c r="M87" i="5"/>
  <c r="M51" i="5"/>
  <c r="M52" i="5"/>
  <c r="M73" i="5"/>
  <c r="M75" i="5"/>
  <c r="M84" i="5"/>
  <c r="M86" i="5"/>
  <c r="M72" i="5"/>
  <c r="M83" i="5"/>
  <c r="M53" i="5"/>
  <c r="M54" i="5"/>
  <c r="M55" i="5"/>
  <c r="M56" i="5"/>
  <c r="M57" i="5"/>
  <c r="M58" i="5"/>
  <c r="M88" i="5"/>
  <c r="M59" i="5"/>
  <c r="M60" i="5"/>
  <c r="M61" i="5"/>
  <c r="M62" i="5"/>
  <c r="M63" i="5"/>
  <c r="M64" i="5"/>
  <c r="M65" i="5"/>
  <c r="M66" i="5"/>
  <c r="M67" i="5"/>
  <c r="M68" i="5"/>
  <c r="M69" i="5"/>
  <c r="M70" i="5"/>
  <c r="K70" i="5"/>
  <c r="K71" i="5"/>
  <c r="K8" i="5"/>
  <c r="K81" i="5"/>
  <c r="K9" i="5"/>
  <c r="K10" i="5"/>
  <c r="K78" i="5"/>
  <c r="K11" i="5"/>
  <c r="K12" i="5"/>
  <c r="K13" i="5"/>
  <c r="K14" i="5"/>
  <c r="K15" i="5"/>
  <c r="K16" i="5"/>
  <c r="K17" i="5"/>
  <c r="K82" i="5"/>
  <c r="K18" i="5"/>
  <c r="K19" i="5"/>
  <c r="K20" i="5"/>
  <c r="K21" i="5"/>
  <c r="K22" i="5"/>
  <c r="K23" i="5"/>
  <c r="K24" i="5"/>
  <c r="K25" i="5"/>
  <c r="K26" i="5"/>
  <c r="K74" i="5"/>
  <c r="K27" i="5"/>
  <c r="K28" i="5"/>
  <c r="K29" i="5"/>
  <c r="K30" i="5"/>
  <c r="K31" i="5"/>
  <c r="K32" i="5"/>
  <c r="K33" i="5"/>
  <c r="K76" i="5"/>
  <c r="K34" i="5"/>
  <c r="K77" i="5"/>
  <c r="K85" i="5"/>
  <c r="K80" i="5"/>
  <c r="K35" i="5"/>
  <c r="K36" i="5"/>
  <c r="K37" i="5"/>
  <c r="K38" i="5"/>
  <c r="K39" i="5"/>
  <c r="K40" i="5"/>
  <c r="K41" i="5"/>
  <c r="K42" i="5"/>
  <c r="K43" i="5"/>
  <c r="K44" i="5"/>
  <c r="K45" i="5"/>
  <c r="K89" i="5"/>
  <c r="K79" i="5"/>
  <c r="K46" i="5"/>
  <c r="K47" i="5"/>
  <c r="K48" i="5"/>
  <c r="K49" i="5"/>
  <c r="K50" i="5"/>
  <c r="K87" i="5"/>
  <c r="K51" i="5"/>
  <c r="K52" i="5"/>
  <c r="K73" i="5"/>
  <c r="K75" i="5"/>
  <c r="K84" i="5"/>
  <c r="K86" i="5"/>
  <c r="K72" i="5"/>
  <c r="K83" i="5"/>
  <c r="K53" i="5"/>
  <c r="K54" i="5"/>
  <c r="K55" i="5"/>
  <c r="K56" i="5"/>
  <c r="K57" i="5"/>
  <c r="K58" i="5"/>
  <c r="K88" i="5"/>
  <c r="K59" i="5"/>
  <c r="K60" i="5"/>
  <c r="K61" i="5"/>
  <c r="K62" i="5"/>
  <c r="K63" i="5"/>
  <c r="K64" i="5"/>
  <c r="K65" i="5"/>
  <c r="K66" i="5"/>
  <c r="K67" i="5"/>
  <c r="K68" i="5"/>
  <c r="K69" i="5"/>
  <c r="I71" i="5" l="1"/>
  <c r="I8" i="5"/>
  <c r="I81" i="5"/>
  <c r="I9" i="5"/>
  <c r="I10" i="5"/>
  <c r="I78" i="5"/>
  <c r="I11" i="5"/>
  <c r="I12" i="5"/>
  <c r="I13" i="5"/>
  <c r="I14" i="5"/>
  <c r="I15" i="5"/>
  <c r="I16" i="5"/>
  <c r="I17" i="5"/>
  <c r="I82" i="5"/>
  <c r="I18" i="5"/>
  <c r="I19" i="5"/>
  <c r="I20" i="5"/>
  <c r="I21" i="5"/>
  <c r="I22" i="5"/>
  <c r="I23" i="5"/>
  <c r="I24" i="5"/>
  <c r="I25" i="5"/>
  <c r="I26" i="5"/>
  <c r="I74" i="5"/>
  <c r="I27" i="5"/>
  <c r="I28" i="5"/>
  <c r="I29" i="5"/>
  <c r="I30" i="5"/>
  <c r="I31" i="5"/>
  <c r="I32" i="5"/>
  <c r="I33" i="5"/>
  <c r="I76" i="5"/>
  <c r="I34" i="5"/>
  <c r="I77" i="5"/>
  <c r="I85" i="5"/>
  <c r="I80" i="5"/>
  <c r="I35" i="5"/>
  <c r="I36" i="5"/>
  <c r="I37" i="5"/>
  <c r="I38" i="5"/>
  <c r="I39" i="5"/>
  <c r="I40" i="5"/>
  <c r="I41" i="5"/>
  <c r="I42" i="5"/>
  <c r="I43" i="5"/>
  <c r="I44" i="5"/>
  <c r="I45" i="5"/>
  <c r="I89" i="5"/>
  <c r="I79" i="5"/>
  <c r="I46" i="5"/>
  <c r="I47" i="5"/>
  <c r="I48" i="5"/>
  <c r="I49" i="5"/>
  <c r="I50" i="5"/>
  <c r="I87" i="5"/>
  <c r="I51" i="5"/>
  <c r="I52" i="5"/>
  <c r="I73" i="5"/>
  <c r="I75" i="5"/>
  <c r="I84" i="5"/>
  <c r="I86" i="5"/>
  <c r="I72" i="5"/>
  <c r="I83" i="5"/>
  <c r="I53" i="5"/>
  <c r="I54" i="5"/>
  <c r="I55" i="5"/>
  <c r="I56" i="5"/>
  <c r="I57" i="5"/>
  <c r="I58" i="5"/>
  <c r="I88" i="5"/>
  <c r="I59" i="5"/>
  <c r="I60" i="5"/>
  <c r="I61" i="5"/>
  <c r="I62" i="5"/>
  <c r="I63" i="5"/>
  <c r="I64" i="5"/>
  <c r="I65" i="5"/>
  <c r="I66" i="5"/>
  <c r="I67" i="5"/>
  <c r="I68" i="5"/>
  <c r="I69" i="5"/>
  <c r="I70" i="5"/>
  <c r="L23" i="4"/>
  <c r="K23" i="4"/>
  <c r="F23" i="4"/>
  <c r="L13" i="4"/>
  <c r="K13" i="4"/>
  <c r="F13" i="4"/>
  <c r="L10" i="4"/>
  <c r="K10" i="4"/>
  <c r="F10" i="4"/>
  <c r="K25" i="4" l="1"/>
  <c r="L25" i="4"/>
  <c r="F25" i="4"/>
</calcChain>
</file>

<file path=xl/sharedStrings.xml><?xml version="1.0" encoding="utf-8"?>
<sst xmlns="http://schemas.openxmlformats.org/spreadsheetml/2006/main" count="3835" uniqueCount="789">
  <si>
    <t>№</t>
  </si>
  <si>
    <t>Протяженность автодороги, находящейся в нормативном состоянии, км/%</t>
  </si>
  <si>
    <t>Фактическое состояние на 31.12.2018</t>
  </si>
  <si>
    <t>Экспертная оценка</t>
  </si>
  <si>
    <t xml:space="preserve">Стоимость </t>
  </si>
  <si>
    <t>км</t>
  </si>
  <si>
    <t>кв.м</t>
  </si>
  <si>
    <t>%</t>
  </si>
  <si>
    <t>кв.м.</t>
  </si>
  <si>
    <t xml:space="preserve">                                                                                                                                                                                                             Автомобильные дороги регионального и межмуниципального значения</t>
  </si>
  <si>
    <t>ИТОГО по автомобильным дорогам регионального и межмуниципального значения</t>
  </si>
  <si>
    <t>ремонт покрытия проезжей части</t>
  </si>
  <si>
    <t>нанесение разметки</t>
  </si>
  <si>
    <t>устройство светофорных объектов</t>
  </si>
  <si>
    <t>шт.</t>
  </si>
  <si>
    <t xml:space="preserve">установка тросового/барьерного ограждения </t>
  </si>
  <si>
    <t>п.м.</t>
  </si>
  <si>
    <t>ремонт тротуаров</t>
  </si>
  <si>
    <t>устройство освещения</t>
  </si>
  <si>
    <t xml:space="preserve">                                                                                                                                                         Объекты, финансируемые из прочих источников (справочно)</t>
  </si>
  <si>
    <t>ИТОГО по автодорогам регионального и межмуниципального значения (справочно)</t>
  </si>
  <si>
    <t>Итого по резервным объектам</t>
  </si>
  <si>
    <t>ИТОГО по резервным объектам</t>
  </si>
  <si>
    <t xml:space="preserve">                                                                                                                                                                                                             Автомобильные дороги местного значения (улицы)</t>
  </si>
  <si>
    <t>ИТОГО по автомобильным дорогам местного значения (улицы)</t>
  </si>
  <si>
    <t>Код в СКДФ</t>
  </si>
  <si>
    <t>Идентификатор</t>
  </si>
  <si>
    <t>Мероприятия, реализуемые в рамках программы в 2019 году</t>
  </si>
  <si>
    <t>Адрес участка</t>
  </si>
  <si>
    <t>Вид работ</t>
  </si>
  <si>
    <t>Мощность работ</t>
  </si>
  <si>
    <t>Значение</t>
  </si>
  <si>
    <t>Единица измерения</t>
  </si>
  <si>
    <t>Начало (км+м)</t>
  </si>
  <si>
    <t>Конец (км+м)</t>
  </si>
  <si>
    <t>тыс.руб.</t>
  </si>
  <si>
    <t>Мероприятия, реализуемые в рамках программы в 2020 году</t>
  </si>
  <si>
    <t>Мероприятия, реализуемые в рамках программы в 2021 году</t>
  </si>
  <si>
    <t>Мероприятия, реализуемые в рамках программы в 2022 году</t>
  </si>
  <si>
    <t>Мероприятия, реализуемые в рамках программы в 2023 году</t>
  </si>
  <si>
    <t>Мероприятия, реализуемые в рамках программы в 2024 году</t>
  </si>
  <si>
    <t>капитальный ремонт</t>
  </si>
  <si>
    <t>реконструкция</t>
  </si>
  <si>
    <t>строительство</t>
  </si>
  <si>
    <t>установка дорожных знаков</t>
  </si>
  <si>
    <t>другое</t>
  </si>
  <si>
    <t>установка направляющих устройств</t>
  </si>
  <si>
    <t>в границах агломерации</t>
  </si>
  <si>
    <t>Мероприятия по устранению режима перегрузки</t>
  </si>
  <si>
    <t>Стоимость мероприятий</t>
  </si>
  <si>
    <t>Примечания</t>
  </si>
  <si>
    <t>ИТОГО</t>
  </si>
  <si>
    <t>Автомобильные дороги федерального значения</t>
  </si>
  <si>
    <t>ОБЩИЙ ИТОГ</t>
  </si>
  <si>
    <t>Погибло</t>
  </si>
  <si>
    <t>Ранено</t>
  </si>
  <si>
    <t>Автомобильные дороги местного значения (улицы)</t>
  </si>
  <si>
    <t>ИТОГО:</t>
  </si>
  <si>
    <t>Протяженность</t>
  </si>
  <si>
    <t>Участок, работающий в режиме перегрузки</t>
  </si>
  <si>
    <t>Автомобильные дороги регионального и межмуниципального значения</t>
  </si>
  <si>
    <t>Всего</t>
  </si>
  <si>
    <t>Протяженность дороги (улицы), км</t>
  </si>
  <si>
    <t>Ожидаемое состояние на 31.12.2019</t>
  </si>
  <si>
    <t>Инстументальная диагностика</t>
  </si>
  <si>
    <t>Месяц</t>
  </si>
  <si>
    <t>Год</t>
  </si>
  <si>
    <t>Дата проведения</t>
  </si>
  <si>
    <t>Протяженность и площадь покрытия дороги (улицы)</t>
  </si>
  <si>
    <t>Ожидаемое состояние на 31.12.2024</t>
  </si>
  <si>
    <t>всего по субъекту</t>
  </si>
  <si>
    <t>в границах субъекта</t>
  </si>
  <si>
    <t>Итого по автомобильным дорогам регионального и межмуниципального значения</t>
  </si>
  <si>
    <t xml:space="preserve">Наименование автомобильной дороги </t>
  </si>
  <si>
    <t xml:space="preserve">Наименование автомобильной дороги (улицы) </t>
  </si>
  <si>
    <t>Протяженность и площадь покрытия дороги</t>
  </si>
  <si>
    <t>В том числе с недостатками транспортно-эксплуатационного состояния УДС</t>
  </si>
  <si>
    <t>Сроки проведения, год</t>
  </si>
  <si>
    <t>Плановые сроки проведения инструментальной диагностики</t>
  </si>
  <si>
    <t>Протяженность участка (км)</t>
  </si>
  <si>
    <t>№ п/п</t>
  </si>
  <si>
    <t>Таблица № 7. Перечень участков автомобильных дорог регионального и межмуниципального значения, которые к концу 2024 года будут в нормативном транспортно-эксплуатационном состоянии</t>
  </si>
  <si>
    <t>Протяженность  автомобильной дороги (км)</t>
  </si>
  <si>
    <t>Данные об участке автомобильной дороги</t>
  </si>
  <si>
    <t>Наименование автомобильной дороги (улицы)</t>
  </si>
  <si>
    <t>Протяженность  автомобильной дороги (улицы) (км)</t>
  </si>
  <si>
    <t>Данные об участке автомобильной дороги (улицы)</t>
  </si>
  <si>
    <t>Таблица № 8. Перечень участков улично-дорожной сети городской агломерации, которые к концу 2024 года будут в нормативном транспортно-эксплуатационном состоянии</t>
  </si>
  <si>
    <t xml:space="preserve">   Автомобильные дороги местного значения (улицы)</t>
  </si>
  <si>
    <t>ИТОГО по автомобильным дорогам местного значения (улицам)</t>
  </si>
  <si>
    <t xml:space="preserve">ИТОГО по улично-дорожной сети городской агломерации </t>
  </si>
  <si>
    <t>Условия и причины возникновения места концентрации ДТП, выявленные по результатам анализа сведений о ДТП</t>
  </si>
  <si>
    <t>Коды недостатков транспортно-эксплуатационного состояния УДС в местах совершения ДТП</t>
  </si>
  <si>
    <t>Мероприятия по ликвидации МКДТП</t>
  </si>
  <si>
    <t>Таблица № 5. Программа проведения диагностики автомобильных дорог регионального и межмуниципального значения  
(по субъекту Российской Федерации)</t>
  </si>
  <si>
    <t>Х</t>
  </si>
  <si>
    <t>ИТОГО по автомобильным дорогам федерального значения (справочно)</t>
  </si>
  <si>
    <t>Резервные объекты в субъекте Российской Федерации, реализация мероприятий на которых возможна при условии увеличения финансирования национального проекта, либо за счет экономии, возникшей в результате снижения начальной (максимальной) цены контрактов при проведении конкурсных процедур.</t>
  </si>
  <si>
    <t>Итого по автомобильным дорогам федерального значения</t>
  </si>
  <si>
    <t>Резервные объекты на автомобильных дорогах городской агломерации, реализация мероприятий на которых возможна при условии увеличения финансирования национального проекта, либо за счет экономии, возникшей в результате снижения начальной (максимальной) цены контрактов при проведении конкурсных процедур.</t>
  </si>
  <si>
    <t>Протяженность автомобильной дороги, находящейся в нормативном состоянии, км/%</t>
  </si>
  <si>
    <r>
      <t xml:space="preserve">Таблица № 2. Перечень автомобильных дорог (улиц) федерального и местного значения и планируемые мероприятия на них для достижения целевых показателей (по городской агломерации) </t>
    </r>
    <r>
      <rPr>
        <b/>
        <i/>
        <sz val="14"/>
        <color indexed="8"/>
        <rFont val="Times New Roman"/>
        <family val="1"/>
        <charset val="204"/>
      </rPr>
      <t>&lt;наименование агломерации&gt;</t>
    </r>
  </si>
  <si>
    <t xml:space="preserve">                                                                                                                                                                                                            Автомобильные дороги федерального значения  (справочно)   </t>
  </si>
  <si>
    <t xml:space="preserve">                                                                                                                                                                                                            Автомобильные дороги  регионального и межмуниципального значения (справочно)</t>
  </si>
  <si>
    <t xml:space="preserve">                                                                                                                                                                                                             Автомобильные дороги местного значения (улицы) (справочно)</t>
  </si>
  <si>
    <t>ИТОГО по автомобильным дорогам местного значения (улицам) (справочно)</t>
  </si>
  <si>
    <t>укладка слоев износа</t>
  </si>
  <si>
    <t>шероховатая поверхностная обработка</t>
  </si>
  <si>
    <t>обработка защитной пропиткой</t>
  </si>
  <si>
    <t>установка водоотводных лотков</t>
  </si>
  <si>
    <t>очистка водоотводных полос</t>
  </si>
  <si>
    <t>установка камер автоматической фото- видеофиксации нарушения ПДД</t>
  </si>
  <si>
    <t>Автомобильные дороги федерального значения (справочно)</t>
  </si>
  <si>
    <t>Таблица № 3. Перечень автомобильных дорог федерального (справочно), регионального и межмуниципального значения, работающих в режиме перегрузки (по субъекту Российской Федерации)</t>
  </si>
  <si>
    <t xml:space="preserve">Наименование автомобильной дороги (улицы) по титулу </t>
  </si>
  <si>
    <t>Адрес аварийно-опасного участка (МКДТП), выявленного в в N-1 г</t>
  </si>
  <si>
    <t>Количество ДТП с пострадавшими в МКДТП, шт.</t>
  </si>
  <si>
    <t>Количество пострадавших в МКДТП, чел.</t>
  </si>
  <si>
    <t>В том числе по видам ДТП</t>
  </si>
  <si>
    <t>Адрес участка дороги (улицы) проведения работ</t>
  </si>
  <si>
    <t>Виды работ</t>
  </si>
  <si>
    <t>Сроки проведения работ (месяц, год)</t>
  </si>
  <si>
    <t>Стоимость работ,  тыс.руб.</t>
  </si>
  <si>
    <t>Раздел 2 - Сведения о МКДТП, выявленных в предшествующие годы рализации ПДД и запланированных мероприятиях по их ликвидации</t>
  </si>
  <si>
    <r>
      <t xml:space="preserve">Примечание:  </t>
    </r>
    <r>
      <rPr>
        <i/>
        <sz val="11"/>
        <rFont val="Times New Roman"/>
        <family val="1"/>
        <charset val="204"/>
      </rPr>
      <t xml:space="preserve">N </t>
    </r>
    <r>
      <rPr>
        <sz val="11"/>
        <rFont val="Times New Roman"/>
        <family val="1"/>
        <charset val="204"/>
      </rPr>
      <t>– год разработки (корректировки)  ПДД.</t>
    </r>
  </si>
  <si>
    <t>Таблица № 4. Перечень аварийно-опасных участков (МКДТП) на дорожной сети субъекта Российской Федерации  и мероприятия, 
запланированные для их ликвидации в 2019-2024 гг.</t>
  </si>
  <si>
    <r>
      <t xml:space="preserve">Сведения за </t>
    </r>
    <r>
      <rPr>
        <b/>
        <i/>
        <sz val="11"/>
        <rFont val="Times New Roman"/>
        <family val="1"/>
        <charset val="204"/>
      </rPr>
      <t>N</t>
    </r>
    <r>
      <rPr>
        <b/>
        <sz val="11"/>
        <rFont val="Times New Roman"/>
        <family val="1"/>
        <charset val="204"/>
      </rPr>
      <t>-2 г.</t>
    </r>
  </si>
  <si>
    <t>Таблица № 1. Перечень автомобильных дорог (участков автомобильных дорог) регионального и межмуниципального значения и планируемые мероприятия на них для достижения целевых показателей (по субъекту Российской Федерации)</t>
  </si>
  <si>
    <t xml:space="preserve"> Абакан - Ак-Довурак (км 182+000 - км 418+714)</t>
  </si>
  <si>
    <t>93-ОП-Р3-93К-01</t>
  </si>
  <si>
    <t>338+000</t>
  </si>
  <si>
    <t>408+720</t>
  </si>
  <si>
    <t>Чадан  - Ак-Довурак (км 0+000 - км 71+246)</t>
  </si>
  <si>
    <t>93-ОП-РЗ-93К-109</t>
  </si>
  <si>
    <t>1+080</t>
  </si>
  <si>
    <t>28+000</t>
  </si>
  <si>
    <t>1948145</t>
  </si>
  <si>
    <t>Подъезд к с .Бай-Хаак (км 0+000 - км 31+587)</t>
  </si>
  <si>
    <t>93-ОП-МЗ-93Н-31</t>
  </si>
  <si>
    <t>15+000</t>
  </si>
  <si>
    <t>24+000</t>
  </si>
  <si>
    <t>Кызыл - Сарыг-Сеп (км 9+600 - км 88+131)</t>
  </si>
  <si>
    <t>93-ОП-РЗ-93К-04</t>
  </si>
  <si>
    <t>54+460</t>
  </si>
  <si>
    <t>76+220</t>
  </si>
  <si>
    <t>0+000</t>
  </si>
  <si>
    <t>ул. Титова</t>
  </si>
  <si>
    <t>ул. Мостовая</t>
  </si>
  <si>
    <t>ул. Крылова</t>
  </si>
  <si>
    <t>0+600</t>
  </si>
  <si>
    <t>1+100</t>
  </si>
  <si>
    <t>ул. Семирацкого</t>
  </si>
  <si>
    <t>г. Кызыл</t>
  </si>
  <si>
    <t>пгт. Каа-Хем</t>
  </si>
  <si>
    <t>ул Геофизическая</t>
  </si>
  <si>
    <t>ул. Мелиораторов</t>
  </si>
  <si>
    <t>2448054</t>
  </si>
  <si>
    <t>ул. Таежная</t>
  </si>
  <si>
    <t>0+730</t>
  </si>
  <si>
    <t>ул. Чооду Кидиспея</t>
  </si>
  <si>
    <t>0+670</t>
  </si>
  <si>
    <t>с. Сукпак</t>
  </si>
  <si>
    <t>ул. Кечил-оола</t>
  </si>
  <si>
    <t>ул. Саянская</t>
  </si>
  <si>
    <t>0+542</t>
  </si>
  <si>
    <t>0+474</t>
  </si>
  <si>
    <t>1948171</t>
  </si>
  <si>
    <t>Подъезд к г.Кызыл</t>
  </si>
  <si>
    <t>5+032</t>
  </si>
  <si>
    <t>Кызыл - Сарыг-Сеп</t>
  </si>
  <si>
    <t>13+000</t>
  </si>
  <si>
    <t>Р-257 "Енисей"</t>
  </si>
  <si>
    <t>815+250</t>
  </si>
  <si>
    <t>816+138</t>
  </si>
  <si>
    <t>1                  2               5</t>
  </si>
  <si>
    <t>нарушение правил расположения ТС на проезжей части - 2, неправильный выбор дистанции - 1, другие нарушения ПДД водителями - 1, нахождение на проезжей части без цели её перехода - 1</t>
  </si>
  <si>
    <t>911+700</t>
  </si>
  <si>
    <t>911+900</t>
  </si>
  <si>
    <t>1             2</t>
  </si>
  <si>
    <t>3                    1</t>
  </si>
  <si>
    <t>несоблюдение очередности проезда - 3, несоответствие скорости конкретным условиям движения - 1</t>
  </si>
  <si>
    <t>83+726</t>
  </si>
  <si>
    <t>84+500</t>
  </si>
  <si>
    <t>нарушение правил расположения ТС на проезжей части - 1, превышение установленной скорости - 1, несоответствие скорости конкретным условиям движения - 1</t>
  </si>
  <si>
    <t>04, 19</t>
  </si>
  <si>
    <t>г. Кызыл, ул. Кочетова</t>
  </si>
  <si>
    <t>дома № 1, 2, 6, 17</t>
  </si>
  <si>
    <t>переход через проезжую часть в неустановленном месте - 2, переход через проезжую часть вне пешеходного перехода в зоне его видимости - 1, выезд на полосу встречного движения - 1, неправильный выбор дистанции - 1, несоответствие скорости конкретным условиям движения - 1</t>
  </si>
  <si>
    <t>04, 15</t>
  </si>
  <si>
    <t>ремонт проезжей части и тротуаров, устройство освещения, обустройство пешеходных переходов</t>
  </si>
  <si>
    <t xml:space="preserve">дома № 32, 36, 43, 45 </t>
  </si>
  <si>
    <t>2                     7</t>
  </si>
  <si>
    <t>переход через проезжую часть вне пешеходного перехода в зоне его видимости - 3, нарушение правил проезда пешеходного перехода - 3, неподчинение сигналам регулирования (пешеход) - 1, несоблюдение очередности проезда - 1, нарушение правил перестроения - 1</t>
  </si>
  <si>
    <t>04, 15, 18</t>
  </si>
  <si>
    <t>г. Кызыл, ул. Калинина</t>
  </si>
  <si>
    <t xml:space="preserve">дома № 2б, 2, </t>
  </si>
  <si>
    <t>нарушение правил проезда пешеходного перехода - 4, переход через проезжую часть вне пешеходного перехода в зоне его видимости - 1</t>
  </si>
  <si>
    <t>дома № 1/2, 3/2, 22, 24</t>
  </si>
  <si>
    <t>1            5</t>
  </si>
  <si>
    <t>3                   2</t>
  </si>
  <si>
    <t>нарушение правил проезда пешеходного перехода - 1, другие нарушения ПДД водителями - 1, неправильный выбор дистанции - 3</t>
  </si>
  <si>
    <t>.04</t>
  </si>
  <si>
    <t xml:space="preserve">дома № 131, 140, 148 </t>
  </si>
  <si>
    <t>3                 1</t>
  </si>
  <si>
    <t>превышение установленной скорости движения - 1, неправильный выбор дистанции - 1, выезд на полосу встречного движения - 1, нарушение правил перестроения - 1</t>
  </si>
  <si>
    <t>г. Кызыл, ул. Кечил-оола</t>
  </si>
  <si>
    <t xml:space="preserve">дома № 7, 9, 11а, 63 </t>
  </si>
  <si>
    <t>нарушение правил проезда пешеходного перехода - 3, другие нарушения ПДД водителями - 1</t>
  </si>
  <si>
    <t>устройство освещения, обустройство пешеходных переходов</t>
  </si>
  <si>
    <t xml:space="preserve">г. Кызыл, перекресток улиц Рабочая  - Титова </t>
  </si>
  <si>
    <t xml:space="preserve">Рабочая (дома № 226, 289) - Титова </t>
  </si>
  <si>
    <t>несоблюдение очередности проезда - 2, нарушение требований сигналов светофора - 2</t>
  </si>
  <si>
    <t>реконструкция ул. Титова, устройство освещения, обустройство пешеходных переходов</t>
  </si>
  <si>
    <t>г. Кызыл, перекресток улиц Магистральная - Сергея Лазо (дом № 82)</t>
  </si>
  <si>
    <t>Магистральная - Сергея Лазо (дом № 82)</t>
  </si>
  <si>
    <t>1              5</t>
  </si>
  <si>
    <t>1                            3</t>
  </si>
  <si>
    <t>нарушение правил проезда пешеходного перехода - 3, неправильный вобор дистанции - 1</t>
  </si>
  <si>
    <t>08, 15, 18</t>
  </si>
  <si>
    <t>в 2018 году установлена камера фотовиедофиксации</t>
  </si>
  <si>
    <t>1                    3                    1</t>
  </si>
  <si>
    <t>1                4                          5</t>
  </si>
  <si>
    <t>2                                1                                 3</t>
  </si>
  <si>
    <t xml:space="preserve">1                         5 </t>
  </si>
  <si>
    <t>Кызыл - Эрзин-Госграница (км 0+000 - км 272+010)</t>
  </si>
  <si>
    <t>Кара-Хаак - Черби (км 0+000 - км 10+000)</t>
  </si>
  <si>
    <t>Подъезд к с. Терлиг-Хая (км 0+000 - км 10+000)</t>
  </si>
  <si>
    <t>Подъезд к с. Шамбалыг  (км 0+000 - км 11+000)</t>
  </si>
  <si>
    <t>Кызыл - Ээрбек - Баян-Кол (км 0+000 - км 66+000)</t>
  </si>
  <si>
    <t>Подъезд к оз. Дус-Холь (км 0+000 - км 19+219)</t>
  </si>
  <si>
    <t>Подъезд к ст.Тайга (км 0+000 - км 19+986)</t>
  </si>
  <si>
    <t>Подъезд к г.Кызыл  (км 0+000 - км 5+032)</t>
  </si>
  <si>
    <t>Подъезд к Догээ (км 0+000 - км 3+800)</t>
  </si>
  <si>
    <t>Объездная в обход г.Кызыл и пгт. Каа-Хем (км 0+000 - км 15+772)</t>
  </si>
  <si>
    <t>Подъезд к с.Сукпак (км 0+000- км 1+100)</t>
  </si>
  <si>
    <t>Подъезд к с. Кара-Хаак (км 0+000 - км 19+040)</t>
  </si>
  <si>
    <t>Подъезд к с.Хадын (км 0+000 - км 36+000)</t>
  </si>
  <si>
    <t>Подъезд к с.Аржаан (км 0+000- км 1+000)</t>
  </si>
  <si>
    <t>Подъезд к с. Шивилиг (км 0+000- км 0+850)</t>
  </si>
  <si>
    <t>Подъезд к с.Сушь (км 0+000- км 0+700)</t>
  </si>
  <si>
    <t>Шагонар - Эйлиг-Хем (км 0+000 - км 30+000)</t>
  </si>
  <si>
    <t>Подъезд к с. Торгалыг (км 0+000 - км 17+652)</t>
  </si>
  <si>
    <t>Подъезд к с. Арыскан (км 0+000 - км 9+200)</t>
  </si>
  <si>
    <t>1948192</t>
  </si>
  <si>
    <t>Подъезд к Арыг-Узуу (км 0+000- км 1+300)</t>
  </si>
  <si>
    <t>1948105</t>
  </si>
  <si>
    <t>Подъезд к с. Чодураа (км 0+000 - км 3+510)</t>
  </si>
  <si>
    <t>1948169</t>
  </si>
  <si>
    <t>Подъезд к с. Хайыракан (км 0+000 - км 0+700)</t>
  </si>
  <si>
    <t>1948132</t>
  </si>
  <si>
    <t>Подъезд к с.Иштии-Хем (км 0+000- км 8+000)</t>
  </si>
  <si>
    <t>1948092</t>
  </si>
  <si>
    <t>Подъезд к с. Арыг-Бажы (км 0+000- км 12+600)</t>
  </si>
  <si>
    <t>1948154</t>
  </si>
  <si>
    <t>Подъезд к с.Ийи-Тал (км 0+000- км 2+000)</t>
  </si>
  <si>
    <t>1948124</t>
  </si>
  <si>
    <t>Подъезд к арб.Кок-Чыраа (км0+000- км 3+000)</t>
  </si>
  <si>
    <t>Чадан - Суг-Аксы (км 0+000 - км 26+110)</t>
  </si>
  <si>
    <t>1948170</t>
  </si>
  <si>
    <t>Суг-Аксы - Баян-Тала (км 0+000 - км 13+800)</t>
  </si>
  <si>
    <t>1948176</t>
  </si>
  <si>
    <t>Суг-Аксы - Алдан-Маадыр (км 0+000- км 23+700)</t>
  </si>
  <si>
    <t>1948095</t>
  </si>
  <si>
    <t>Суг-Аксы - Ишкин (км 0+000- км 31+000)</t>
  </si>
  <si>
    <t>1948163</t>
  </si>
  <si>
    <t>Подъезд к с.Бора-Тайга (км 0+000- км 8+000)</t>
  </si>
  <si>
    <t>1948102</t>
  </si>
  <si>
    <t>1948126</t>
  </si>
  <si>
    <t>Чадан - Ийме (км 0+000 - км 42+000)</t>
  </si>
  <si>
    <t>1948115</t>
  </si>
  <si>
    <t>Чадан - Бажын-Алаак (км 0+000 - км 13+000)</t>
  </si>
  <si>
    <t>1948162</t>
  </si>
  <si>
    <t>Чыраа-Бажы - Чыргакы (км0+000- км 12+000)</t>
  </si>
  <si>
    <t>1948148</t>
  </si>
  <si>
    <t>Чыргакы - Элдиг-Хем (км 0+000- км 28+000)</t>
  </si>
  <si>
    <t>Подъезд к с. Чаа-Холь (км 0+000 - км 15+550)</t>
  </si>
  <si>
    <t>1948093</t>
  </si>
  <si>
    <t>Подъезд к с. Булун-Терек (км 0+000-км 3+600)</t>
  </si>
  <si>
    <t>1948161</t>
  </si>
  <si>
    <t>Чаа-Холь - Шанчы (км 0+000 - км 34+000)</t>
  </si>
  <si>
    <t>1948133</t>
  </si>
  <si>
    <t>1948134</t>
  </si>
  <si>
    <t>Подъезд к с.Хорум-Даг (км 0+000- км 10+000)</t>
  </si>
  <si>
    <t>1948175</t>
  </si>
  <si>
    <t>Подъезд к с.Теве-Хая (км 0+000 - км 0+800)</t>
  </si>
  <si>
    <t>1948094</t>
  </si>
  <si>
    <t>Подъезд к с.Хайыракан (км 0+000 - км 1+500)</t>
  </si>
  <si>
    <t>1948135</t>
  </si>
  <si>
    <t>Подъезд к с.Баян-Тала (км 0+000- км 3+500)</t>
  </si>
  <si>
    <t>Подъезд к Хондергей (км 0+000- км 1+500)</t>
  </si>
  <si>
    <t>Подъезд к с. Тээли (км 0+000 - км 37+900)</t>
  </si>
  <si>
    <t>1948090</t>
  </si>
  <si>
    <t>Подъезд к с. Кара-Холь(км 0+000 - км 73+000)</t>
  </si>
  <si>
    <t>1948164</t>
  </si>
  <si>
    <t>Тээли - Бай-Тал (км 0+000- км 15+600)</t>
  </si>
  <si>
    <t>Тээли- Шуй (км 0+000- км 19+600)</t>
  </si>
  <si>
    <t>1948165</t>
  </si>
  <si>
    <t>Тээли - Кызыл-Даг (км 0+000- км 14+000)</t>
  </si>
  <si>
    <t>1948190</t>
  </si>
  <si>
    <t>Подъезд к с.Бижиктиг-Хая (км 0+000- км 1+260)</t>
  </si>
  <si>
    <t>1948177</t>
  </si>
  <si>
    <t>Подъезд к с.Дон-Терезин (км 0+000- км 7+400)</t>
  </si>
  <si>
    <t>1948089</t>
  </si>
  <si>
    <t>Кызыл-Мажалык - Аянгаты (км 0+000 -км 28+900)</t>
  </si>
  <si>
    <t>1948120</t>
  </si>
  <si>
    <t>Кызыл-Мажалык - Эрги-Барлык  (км 0+000 - км 27+600)</t>
  </si>
  <si>
    <t>1948149</t>
  </si>
  <si>
    <t>Кызыл-Мажалык - Барлык (км 0+000- км 3+400)</t>
  </si>
  <si>
    <t>1948146</t>
  </si>
  <si>
    <t>Сарыг -Сеп - Балгазын  (км 0+000-км 85+000)</t>
  </si>
  <si>
    <t>1948107</t>
  </si>
  <si>
    <t>Подъезд к с.Усть-Бурен (км 0+000 - км 7+200)</t>
  </si>
  <si>
    <t>1948158</t>
  </si>
  <si>
    <t>Бай-Хаак - Балгазын  (км 0+000 - км 58+000)</t>
  </si>
  <si>
    <t>1948103</t>
  </si>
  <si>
    <t>Усть-Элегест - Кочетово (км 0+000 - км 31+000)</t>
  </si>
  <si>
    <t>1948187</t>
  </si>
  <si>
    <t>Бай-Хаак - Чал-Кежиг (км 0+000 - км 47+000)</t>
  </si>
  <si>
    <t>1948179</t>
  </si>
  <si>
    <t>Бай-Хаак - Межегей (км 0+000- км 15+000)</t>
  </si>
  <si>
    <t>1948109</t>
  </si>
  <si>
    <t>Подъезд к с.Владимировка (км 0+000- км 3+000)</t>
  </si>
  <si>
    <t>1948153</t>
  </si>
  <si>
    <t>Подъезд к с.Краснояровка (км 0+000- км 1+500)</t>
  </si>
  <si>
    <t>1948130</t>
  </si>
  <si>
    <t>Самагалтай - Ак-Чыраа  (км 0+000 - км 135+200)</t>
  </si>
  <si>
    <t>1948101</t>
  </si>
  <si>
    <t>Подъезд к с.Бельдир-Арыг (км 0+000- км 3+200)</t>
  </si>
  <si>
    <t>1948127</t>
  </si>
  <si>
    <t>Хандагайты - Ак-Чыраа (км 0+000 - км 126+000)</t>
  </si>
  <si>
    <t>1948185</t>
  </si>
  <si>
    <t>Хандагайты - Мугур-Аксы (км 0+000 - км 156+000)</t>
  </si>
  <si>
    <t>1948096</t>
  </si>
  <si>
    <t>Поддъезд к с. Саглы (км 0+000- км 3+000)</t>
  </si>
  <si>
    <t>Подъезд к п. Хову-Аксы (км 0+000 - км 64+186)</t>
  </si>
  <si>
    <t>1948125</t>
  </si>
  <si>
    <t>Подъезд к Алдын - Булак (км 0+000- км 1+400)</t>
  </si>
  <si>
    <t>1948160</t>
  </si>
  <si>
    <t>Подъезд к с.Ак-Тал (км 0+000- км 18+000)</t>
  </si>
  <si>
    <t>1948174</t>
  </si>
  <si>
    <t>Подъезд к с.Элегест (км 0+000- км 5+000)</t>
  </si>
  <si>
    <t>1948173</t>
  </si>
  <si>
    <t>Подъезд к с.Сайлыг (км 0+000- км 0+700)</t>
  </si>
  <si>
    <t>1948143</t>
  </si>
  <si>
    <t>Мугур-Аксы - Кызыл-Хая ( км 0+000 - км 69+400)</t>
  </si>
  <si>
    <t>1948172</t>
  </si>
  <si>
    <t>Бояровка - Тоора-Хем ( км 0+000 - км 160+000)</t>
  </si>
  <si>
    <t>1948182</t>
  </si>
  <si>
    <t>Подъезд к Госгранице с МНР (Цаган-Толгой-Качык) (км 0+000- км 0+088)</t>
  </si>
  <si>
    <t>1948181</t>
  </si>
  <si>
    <t>Подъезд к мараловодческому Хозяйству "Туран" (км 0+000 - км 17+601)</t>
  </si>
  <si>
    <t>Подъезд к г.Шагонар (км 0+000- км 5+000)</t>
  </si>
  <si>
    <t>Подъезд к с. Шеми (км 0+000- км 15+700)</t>
  </si>
  <si>
    <t>Подъезд к Догээ (км 0+000- км 3+800)</t>
  </si>
  <si>
    <t xml:space="preserve">Кызыл - Сарыг-Сеп </t>
  </si>
  <si>
    <t>2447000</t>
  </si>
  <si>
    <t>пер Анкерный</t>
  </si>
  <si>
    <t>пер Загородный</t>
  </si>
  <si>
    <t>ул 2-я Серебрянка</t>
  </si>
  <si>
    <t>2448017</t>
  </si>
  <si>
    <t>ул 90-летия ТАР</t>
  </si>
  <si>
    <t>2447132</t>
  </si>
  <si>
    <t>ул Абаканская</t>
  </si>
  <si>
    <t>2447810</t>
  </si>
  <si>
    <t>2448595</t>
  </si>
  <si>
    <t>ул Ангарский бульвар</t>
  </si>
  <si>
    <t>2448843</t>
  </si>
  <si>
    <t>ул Бай-Хаакская</t>
  </si>
  <si>
    <t>ул Березовая</t>
  </si>
  <si>
    <t>2447564</t>
  </si>
  <si>
    <t>ул Буренская</t>
  </si>
  <si>
    <t>2447328</t>
  </si>
  <si>
    <t>ул Бухтуева</t>
  </si>
  <si>
    <t>ул Восточная</t>
  </si>
  <si>
    <t>2449138</t>
  </si>
  <si>
    <t>ул Гагарина</t>
  </si>
  <si>
    <t>2448475</t>
  </si>
  <si>
    <t>ул Горная</t>
  </si>
  <si>
    <t>2449188</t>
  </si>
  <si>
    <t>ул Декабристов</t>
  </si>
  <si>
    <t>2447433</t>
  </si>
  <si>
    <t>ул Дружбы</t>
  </si>
  <si>
    <t>ул Заводская</t>
  </si>
  <si>
    <t>2448519</t>
  </si>
  <si>
    <t>ул Индустриальная</t>
  </si>
  <si>
    <t>2447984</t>
  </si>
  <si>
    <t>ул Интернациональная</t>
  </si>
  <si>
    <t>ул Иркутская</t>
  </si>
  <si>
    <t>2448442</t>
  </si>
  <si>
    <t>ул Каа-Хем</t>
  </si>
  <si>
    <t>ул Калинина</t>
  </si>
  <si>
    <t>2447319</t>
  </si>
  <si>
    <t>ул Каменистая</t>
  </si>
  <si>
    <t>2447294</t>
  </si>
  <si>
    <t>ул Карбышева</t>
  </si>
  <si>
    <t>ул Кечил-оола</t>
  </si>
  <si>
    <t>2449025</t>
  </si>
  <si>
    <t>ул Колхозная</t>
  </si>
  <si>
    <t>2447588</t>
  </si>
  <si>
    <t>ул Коммунальная</t>
  </si>
  <si>
    <t>2448351</t>
  </si>
  <si>
    <t>ул Комсомольская</t>
  </si>
  <si>
    <t>ул Кочетова</t>
  </si>
  <si>
    <t>2446983</t>
  </si>
  <si>
    <t>ул Красноармейская</t>
  </si>
  <si>
    <t>2448240</t>
  </si>
  <si>
    <t>ул Крылова</t>
  </si>
  <si>
    <t>2447382</t>
  </si>
  <si>
    <t>ул Крюкова</t>
  </si>
  <si>
    <t>ул Кузнецова</t>
  </si>
  <si>
    <t>2447212</t>
  </si>
  <si>
    <t>ул Ленина</t>
  </si>
  <si>
    <t>2448628</t>
  </si>
  <si>
    <t>ул Магистральная</t>
  </si>
  <si>
    <t>ул Малчын</t>
  </si>
  <si>
    <t>2447758</t>
  </si>
  <si>
    <t>ул Межмикрорайонная</t>
  </si>
  <si>
    <t>2448775</t>
  </si>
  <si>
    <t>ул Механизации</t>
  </si>
  <si>
    <t>2447873</t>
  </si>
  <si>
    <t>ул Мира</t>
  </si>
  <si>
    <t>2448513</t>
  </si>
  <si>
    <t>ул Мкр Спутник Взлетная</t>
  </si>
  <si>
    <t>ул Мкр Спутник Звездная</t>
  </si>
  <si>
    <t>2446951</t>
  </si>
  <si>
    <t>ул Мкр Спутник Полигонная</t>
  </si>
  <si>
    <t>2447853</t>
  </si>
  <si>
    <t>ул Мкр Спутник Убсу-Нурская</t>
  </si>
  <si>
    <t>2448913</t>
  </si>
  <si>
    <t>ул Мкр Спутник Эрзинская</t>
  </si>
  <si>
    <t>ул Молодежная</t>
  </si>
  <si>
    <t>2447575</t>
  </si>
  <si>
    <t>ул Московская</t>
  </si>
  <si>
    <t>2447121</t>
  </si>
  <si>
    <t>ул Мостовая</t>
  </si>
  <si>
    <t>ул Набережная</t>
  </si>
  <si>
    <t>2448219</t>
  </si>
  <si>
    <t>ул Новоселов</t>
  </si>
  <si>
    <t>2447108</t>
  </si>
  <si>
    <t>ул Ооржака Лопсанчапа</t>
  </si>
  <si>
    <t>ул Островная</t>
  </si>
  <si>
    <t>2449028</t>
  </si>
  <si>
    <t>ул Оюна Курседи</t>
  </si>
  <si>
    <t>2448462</t>
  </si>
  <si>
    <t>ул Парижских Коммунаров</t>
  </si>
  <si>
    <t>2449168</t>
  </si>
  <si>
    <t>ул Паромная</t>
  </si>
  <si>
    <t>ул Паротурбинная</t>
  </si>
  <si>
    <t>ул Первомайская</t>
  </si>
  <si>
    <t>2448113</t>
  </si>
  <si>
    <t>ул Полевая</t>
  </si>
  <si>
    <t>ул Пригородная</t>
  </si>
  <si>
    <t>2447725</t>
  </si>
  <si>
    <t>ул Пролетарская</t>
  </si>
  <si>
    <t>2448235</t>
  </si>
  <si>
    <t>ул Пушкина</t>
  </si>
  <si>
    <t>2447399</t>
  </si>
  <si>
    <t>ул Рабочая</t>
  </si>
  <si>
    <t>ул Релейная</t>
  </si>
  <si>
    <t>2447019</t>
  </si>
  <si>
    <t>ул Рихарда Зорге</t>
  </si>
  <si>
    <t>2449163</t>
  </si>
  <si>
    <t>ул Ровенская</t>
  </si>
  <si>
    <t>ул Салчака Тока</t>
  </si>
  <si>
    <t>ул Семирацкого</t>
  </si>
  <si>
    <t>ул Сергея Лазо</t>
  </si>
  <si>
    <t>2448964</t>
  </si>
  <si>
    <t>ул Складская</t>
  </si>
  <si>
    <t>2448524</t>
  </si>
  <si>
    <t>ул Советская</t>
  </si>
  <si>
    <t>ул Суворова</t>
  </si>
  <si>
    <t>2448592</t>
  </si>
  <si>
    <t>ул Сукпакская</t>
  </si>
  <si>
    <t>ул Таежная</t>
  </si>
  <si>
    <t>2447956</t>
  </si>
  <si>
    <t>ул Титова</t>
  </si>
  <si>
    <t>ул Тувинских Добровольцев</t>
  </si>
  <si>
    <t>2448897</t>
  </si>
  <si>
    <t>ул Университетская</t>
  </si>
  <si>
    <t>ул Чургуй-оола</t>
  </si>
  <si>
    <t>2448418</t>
  </si>
  <si>
    <t>ул Шевченко</t>
  </si>
  <si>
    <t>2446928</t>
  </si>
  <si>
    <t>ул Щетинкина-Кравченко</t>
  </si>
  <si>
    <t>2447111</t>
  </si>
  <si>
    <t>ул Энергетиков</t>
  </si>
  <si>
    <t>Маршрут следования автобусного маршрута № 13</t>
  </si>
  <si>
    <t>2447710</t>
  </si>
  <si>
    <t>2447964</t>
  </si>
  <si>
    <t>2447391</t>
  </si>
  <si>
    <t>2447886</t>
  </si>
  <si>
    <t>2447636</t>
  </si>
  <si>
    <t>ул Каа-Хемская</t>
  </si>
  <si>
    <t>2447621</t>
  </si>
  <si>
    <t>ул Комарова</t>
  </si>
  <si>
    <t>2448488</t>
  </si>
  <si>
    <t>ул Курченко</t>
  </si>
  <si>
    <t>2448003</t>
  </si>
  <si>
    <t>ул Мелиораторов</t>
  </si>
  <si>
    <t>2447530</t>
  </si>
  <si>
    <t>ул Народная</t>
  </si>
  <si>
    <t>2447651</t>
  </si>
  <si>
    <t>ул Насыпная</t>
  </si>
  <si>
    <t>2448773</t>
  </si>
  <si>
    <t>ул Пионерская</t>
  </si>
  <si>
    <t>2448614</t>
  </si>
  <si>
    <t>2448640</t>
  </si>
  <si>
    <t>2447282</t>
  </si>
  <si>
    <t>ул Тепличная</t>
  </si>
  <si>
    <t>2448195</t>
  </si>
  <si>
    <t>2447279</t>
  </si>
  <si>
    <t>ул Чооду Кидиспея</t>
  </si>
  <si>
    <t>2447946</t>
  </si>
  <si>
    <t>ул Щорса</t>
  </si>
  <si>
    <t>2448624</t>
  </si>
  <si>
    <t>ул 40 лет Победы</t>
  </si>
  <si>
    <t>2448916</t>
  </si>
  <si>
    <t>ул 40 лет Победы 2 квартал</t>
  </si>
  <si>
    <t>2448082</t>
  </si>
  <si>
    <t>ул Геологов</t>
  </si>
  <si>
    <t>2448101</t>
  </si>
  <si>
    <t>2448481</t>
  </si>
  <si>
    <t>ул Кечил-Оола</t>
  </si>
  <si>
    <t>2447491</t>
  </si>
  <si>
    <t>ул Кызылская</t>
  </si>
  <si>
    <t>2447271</t>
  </si>
  <si>
    <t>2447809</t>
  </si>
  <si>
    <t>2447648</t>
  </si>
  <si>
    <t>2447930</t>
  </si>
  <si>
    <t>ул Саянская</t>
  </si>
  <si>
    <t>2448522</t>
  </si>
  <si>
    <t>ул Фрегатная</t>
  </si>
  <si>
    <t>ремонт проезжей части</t>
  </si>
  <si>
    <t>1+450</t>
  </si>
  <si>
    <t>2+800</t>
  </si>
  <si>
    <t>3+550</t>
  </si>
  <si>
    <t>0+630</t>
  </si>
  <si>
    <t>0+480</t>
  </si>
  <si>
    <t>0+900</t>
  </si>
  <si>
    <t>Таблица № 6. Программа проведения диагностики автомобильных дорог (улиц) федерального, регионального и межмуниципального, местного значения Кызылской агломерации</t>
  </si>
  <si>
    <t>25+000</t>
  </si>
  <si>
    <t>27+000</t>
  </si>
  <si>
    <t>Подъезд к с. Иштии-Хем (км 0+000 - км 8+000)</t>
  </si>
  <si>
    <t>8+000</t>
  </si>
  <si>
    <t>Подъезд к с. Суг-Бажы (км 0+000 - км 1+500)</t>
  </si>
  <si>
    <t>Сарыг-Сеп - Балгазын (0+0000 - км 85+000)</t>
  </si>
  <si>
    <t>70+000</t>
  </si>
  <si>
    <t>72+000</t>
  </si>
  <si>
    <t>Суг-Аксы - Ишкин ( км 0+000 - км 31+000)</t>
  </si>
  <si>
    <t>3+500</t>
  </si>
  <si>
    <t>7+500</t>
  </si>
  <si>
    <t>21+000</t>
  </si>
  <si>
    <t>23+000</t>
  </si>
  <si>
    <t>1+000</t>
  </si>
  <si>
    <t>1+500</t>
  </si>
  <si>
    <t>14+000</t>
  </si>
  <si>
    <t>Подъезд к с. Кара-Холь (км 0+000 - км 73+000)</t>
  </si>
  <si>
    <t>50+000</t>
  </si>
  <si>
    <t>55+000</t>
  </si>
  <si>
    <t>Чадан -Бажын-Алаак (км 0+000 - км 13+000)</t>
  </si>
  <si>
    <t>5+000</t>
  </si>
  <si>
    <t>10+000</t>
  </si>
  <si>
    <t>Подъезд к с. Хадын (км 0+000 - км 36+000)</t>
  </si>
  <si>
    <t>23+700</t>
  </si>
  <si>
    <t>36+000</t>
  </si>
  <si>
    <t>Подъезд к с. Усть-Бурен (км 0+000 - км 7+200)</t>
  </si>
  <si>
    <t>7+200</t>
  </si>
  <si>
    <t>Чадан-Ийме (км 0+000 - км 42+000)</t>
  </si>
  <si>
    <t>Бай-Хаак - Балгазын (0+000 - км 58+000)</t>
  </si>
  <si>
    <t>9+000</t>
  </si>
  <si>
    <t>Кызыл-Мажалык - Аянгаты (км 0+000 - км 28+900)</t>
  </si>
  <si>
    <t>11+900</t>
  </si>
  <si>
    <t>28+900</t>
  </si>
  <si>
    <t>78+000</t>
  </si>
  <si>
    <t>93-ОП-МЗ-93Н-17</t>
  </si>
  <si>
    <t>93-254-ОП-МР-50</t>
  </si>
  <si>
    <t>93-ОП-МЗ-93Н-36</t>
  </si>
  <si>
    <t>93-238-ОП-МР-61</t>
  </si>
  <si>
    <t>93-220-ОП-МР-102</t>
  </si>
  <si>
    <t>93-ОП-МЗ-93Н-26</t>
  </si>
  <si>
    <t>93-ОП-МЗ-93Н-18</t>
  </si>
  <si>
    <t>93-ОП-МЗ-93Н-12</t>
  </si>
  <si>
    <t>93-222-ОП-МР-43</t>
  </si>
  <si>
    <t>93-235-ОП-МР-76</t>
  </si>
  <si>
    <t>93-ОП-МЗ-93Н-04</t>
  </si>
  <si>
    <t>93-ОП-МЗ-93Н-37</t>
  </si>
  <si>
    <t>93-ОП-МЗ-93Н-13</t>
  </si>
  <si>
    <t>93-ОП-МЗ-93Н-33</t>
  </si>
  <si>
    <t>93-ОП-МЗ-93Н-16</t>
  </si>
  <si>
    <t>93-ОП-МЗ-93Н-21</t>
  </si>
  <si>
    <t>Подъезд к с. Суг-Бажы ( 0+000 - км 1+500)</t>
  </si>
  <si>
    <t>Кызыл - Ээрбек - Баян-Кол (0+000 - км 66+000)</t>
  </si>
  <si>
    <t>0+940</t>
  </si>
  <si>
    <t>0+400</t>
  </si>
  <si>
    <t xml:space="preserve">ул. Пригородная </t>
  </si>
  <si>
    <t>1+400</t>
  </si>
  <si>
    <t>1+110</t>
  </si>
  <si>
    <t>ул. Народная</t>
  </si>
  <si>
    <t>1+200</t>
  </si>
  <si>
    <t>кв. м.</t>
  </si>
  <si>
    <t>1+557</t>
  </si>
  <si>
    <t>0+523</t>
  </si>
  <si>
    <t>0+550</t>
  </si>
  <si>
    <t>1+310</t>
  </si>
  <si>
    <t>безымянная улица маршрут следования автобуса №38 от ул. Шахтерская до магазина Буянныг</t>
  </si>
  <si>
    <t>1+300</t>
  </si>
  <si>
    <t>ул. Тепличная</t>
  </si>
  <si>
    <t>ул. Комарова</t>
  </si>
  <si>
    <t>0+954</t>
  </si>
  <si>
    <t>ул. Насыпная</t>
  </si>
  <si>
    <t>0+763</t>
  </si>
  <si>
    <t>0+780</t>
  </si>
  <si>
    <t>0+750</t>
  </si>
  <si>
    <t>ул. Заводская</t>
  </si>
  <si>
    <t>1+210</t>
  </si>
  <si>
    <t>0+760</t>
  </si>
  <si>
    <t>0+316</t>
  </si>
  <si>
    <t>с.Сукпак</t>
  </si>
  <si>
    <t>0+655</t>
  </si>
  <si>
    <t>0+340</t>
  </si>
  <si>
    <t>0+520</t>
  </si>
  <si>
    <t>0+490</t>
  </si>
  <si>
    <t>0+230</t>
  </si>
  <si>
    <t>0+462</t>
  </si>
  <si>
    <t>0+350</t>
  </si>
  <si>
    <t>0+180</t>
  </si>
  <si>
    <t>каптальный ремонт</t>
  </si>
  <si>
    <t>2+090</t>
  </si>
  <si>
    <t>5+470</t>
  </si>
  <si>
    <t>1+950</t>
  </si>
  <si>
    <t>1+760</t>
  </si>
  <si>
    <t>1+350</t>
  </si>
  <si>
    <t>3+620</t>
  </si>
  <si>
    <t>Маршрут следования автобусного маршрута № 7,11,18</t>
  </si>
  <si>
    <t>1+920</t>
  </si>
  <si>
    <t>1+430</t>
  </si>
  <si>
    <t>0+590</t>
  </si>
  <si>
    <t>кв.км.</t>
  </si>
  <si>
    <t>1+250</t>
  </si>
  <si>
    <t>1+645</t>
  </si>
  <si>
    <t>0+440</t>
  </si>
  <si>
    <t>3+300</t>
  </si>
  <si>
    <t>1+280</t>
  </si>
  <si>
    <t>1+790</t>
  </si>
  <si>
    <t>1+680</t>
  </si>
  <si>
    <t>3+810</t>
  </si>
  <si>
    <t>0+850</t>
  </si>
  <si>
    <t>0+410</t>
  </si>
  <si>
    <t>2+200</t>
  </si>
  <si>
    <t>2+24</t>
  </si>
  <si>
    <t>Маршрут следования автобусного маршрута № 7, 11, 18</t>
  </si>
  <si>
    <t>411+380</t>
  </si>
  <si>
    <t>устройство освещения, обустройство пешеходных переходов, устройство искусственной неровности</t>
  </si>
  <si>
    <t xml:space="preserve"> устройство освещения, обустройство пешеходных переходов</t>
  </si>
  <si>
    <t>октябрь</t>
  </si>
  <si>
    <t>0+820</t>
  </si>
  <si>
    <t>1+05</t>
  </si>
  <si>
    <t>2+870</t>
  </si>
  <si>
    <t>0+930</t>
  </si>
  <si>
    <t>кв.км</t>
  </si>
  <si>
    <t>0+700</t>
  </si>
  <si>
    <t>4+700</t>
  </si>
  <si>
    <t>3+210</t>
  </si>
  <si>
    <t>ул. Декабристов</t>
  </si>
  <si>
    <t>0+530</t>
  </si>
  <si>
    <t>ул. Набережная</t>
  </si>
  <si>
    <t>ул. Релейная</t>
  </si>
  <si>
    <t>ул. Чульдума</t>
  </si>
  <si>
    <t>1+065</t>
  </si>
  <si>
    <t>1+560</t>
  </si>
  <si>
    <t>окт</t>
  </si>
  <si>
    <t>ул Чульдум</t>
  </si>
  <si>
    <t>ул. Ооржака Лопсанчапа</t>
  </si>
  <si>
    <t>Маршрут следования автобусного маршрута №13</t>
  </si>
  <si>
    <t>2+150</t>
  </si>
  <si>
    <t>1+050</t>
  </si>
  <si>
    <t>0+320</t>
  </si>
  <si>
    <t>1+380</t>
  </si>
  <si>
    <t>0+890</t>
  </si>
  <si>
    <t>1+390</t>
  </si>
  <si>
    <t>3+870</t>
  </si>
  <si>
    <t>0+200</t>
  </si>
  <si>
    <t>0+450</t>
  </si>
  <si>
    <t>2+038</t>
  </si>
  <si>
    <t>2+640</t>
  </si>
  <si>
    <t>1+460</t>
  </si>
  <si>
    <t>1+650</t>
  </si>
  <si>
    <t>0+720</t>
  </si>
  <si>
    <t>1+690</t>
  </si>
  <si>
    <t>2+050</t>
  </si>
  <si>
    <t>1+140</t>
  </si>
  <si>
    <t>0+910</t>
  </si>
  <si>
    <t>4+010</t>
  </si>
  <si>
    <t>1+070</t>
  </si>
  <si>
    <t>2448834</t>
  </si>
  <si>
    <t>0+470</t>
  </si>
  <si>
    <t>0+540</t>
  </si>
  <si>
    <t>0+660</t>
  </si>
  <si>
    <t>Р-257 "Енисей" ( км 701+000 - км 1116+125)</t>
  </si>
  <si>
    <t>0+640</t>
  </si>
  <si>
    <t>1+320</t>
  </si>
  <si>
    <t>4+100</t>
  </si>
  <si>
    <t>за счет средств Дорожного фонда Республики Тыва</t>
  </si>
  <si>
    <t>93-ОП-РЗ-93К-03</t>
  </si>
  <si>
    <t>93-ОП-Р3-93Н-110</t>
  </si>
  <si>
    <t>93-210-ОП-МР-71</t>
  </si>
  <si>
    <t>93-210-ОП-МР-67</t>
  </si>
  <si>
    <t>93-ОП-МЗ-93Н-24</t>
  </si>
  <si>
    <t>93-222-ОП-МР-103</t>
  </si>
  <si>
    <t>93-240-ОП-МР-86</t>
  </si>
  <si>
    <t>93-ОП-МЗ-93Н-32</t>
  </si>
  <si>
    <t>93-ОП-МЗ-93Н-35</t>
  </si>
  <si>
    <t>93-222-ОП-МР-106</t>
  </si>
  <si>
    <t>93-254-ОП-МР-101</t>
  </si>
  <si>
    <t>93-254-ОП-МР-100</t>
  </si>
  <si>
    <t>93-ОП-МЗ-93Н-27</t>
  </si>
  <si>
    <t>93-235-ОП-МР-98</t>
  </si>
  <si>
    <t>93-ОП-МЗ-93Н-30</t>
  </si>
  <si>
    <t>93-ОП-МЗ-93Н-05</t>
  </si>
  <si>
    <t>93-ОП-МЗ-93Н-10</t>
  </si>
  <si>
    <t>93-256-ОП-МР-52</t>
  </si>
  <si>
    <t>93-ОП-МЗ-93Н-25</t>
  </si>
  <si>
    <t>93-222-ОП-МР-45</t>
  </si>
  <si>
    <t>93-ОП-МЗ-93Н-08</t>
  </si>
  <si>
    <t>93-ОП-МЗ-93Н-06</t>
  </si>
  <si>
    <t>93-ОП-МЗ-93Н-09</t>
  </si>
  <si>
    <t>93-222-ОП-МР-44</t>
  </si>
  <si>
    <t>93-215-ОП-МР-56</t>
  </si>
  <si>
    <t>93-235-ОП-МР-77</t>
  </si>
  <si>
    <t>93-257-ОП-МР-46</t>
  </si>
  <si>
    <t>93-235-ОП-МР-75</t>
  </si>
  <si>
    <t>93-215-ОП-МР-58</t>
  </si>
  <si>
    <t>93-245-ОП-МР-93</t>
  </si>
  <si>
    <t>93-210-ОП-МР-89</t>
  </si>
  <si>
    <t>93-238-ОП-МР-63</t>
  </si>
  <si>
    <t>93-240-ОП-МР-85</t>
  </si>
  <si>
    <t>93-210-ОП-МР-68</t>
  </si>
  <si>
    <t>93-240-ОП-МР-87</t>
  </si>
  <si>
    <t>93-257-ОП-МР-47</t>
  </si>
  <si>
    <t>93-222-ОП-МР-92</t>
  </si>
  <si>
    <t>93-235-ОП-МР-78</t>
  </si>
  <si>
    <t>93-215-ОП-МР-59</t>
  </si>
  <si>
    <t>93-215-ОП-МР-60</t>
  </si>
  <si>
    <t>93-215-ОП-МР-57</t>
  </si>
  <si>
    <t>93-257-ОП-МР-48</t>
  </si>
  <si>
    <t>93-ОП-МЗ-93Н-28</t>
  </si>
  <si>
    <t>93-238-ОП-МР-62</t>
  </si>
  <si>
    <t>93-ОП-МЗ-93Н-15</t>
  </si>
  <si>
    <t>93-205-ОП-МР-73</t>
  </si>
  <si>
    <t>93-205-ОП-МР-74</t>
  </si>
  <si>
    <t>93-205-ОП-МР-72</t>
  </si>
  <si>
    <t>93-ОП-МЗ-93Н-22</t>
  </si>
  <si>
    <t>93-ОП-МЗ-93Н-14</t>
  </si>
  <si>
    <t>93-215-ОП-МР-54</t>
  </si>
  <si>
    <t>93-215-ОП-МР-55</t>
  </si>
  <si>
    <t>93-ОП-МЗ-93Н-07</t>
  </si>
  <si>
    <t>2019-2020</t>
  </si>
  <si>
    <r>
      <t>Раздел 1 - Сведения о МКДТП за 2017</t>
    </r>
    <r>
      <rPr>
        <b/>
        <sz val="11"/>
        <color indexed="8"/>
        <rFont val="Times New Roman"/>
        <family val="1"/>
      </rPr>
      <t xml:space="preserve"> г. и запланированных мероприятиях по их ликвидации</t>
    </r>
  </si>
  <si>
    <t>Кызыл-Хая - граница Рес. Алтай (пер. Бугузун) - Кокоря</t>
  </si>
  <si>
    <t>11+000</t>
  </si>
  <si>
    <t>Подъезд к г. Шагонар</t>
  </si>
  <si>
    <t>93-ОП-МГ-93Н-96</t>
  </si>
  <si>
    <t>4+000</t>
  </si>
  <si>
    <t xml:space="preserve">июль </t>
  </si>
  <si>
    <t>устройство уличного освещения</t>
  </si>
  <si>
    <t>устройство барьерного ограждения</t>
  </si>
  <si>
    <t>устройство камер фотовидеофиксации</t>
  </si>
  <si>
    <t xml:space="preserve">окт </t>
  </si>
  <si>
    <t>Подъезд к с. Арыг-Бажы</t>
  </si>
  <si>
    <t>Кызыл-Мажалык – Эрги-Барлык</t>
  </si>
  <si>
    <t>12+450</t>
  </si>
  <si>
    <t>21+560</t>
  </si>
  <si>
    <t>27+020</t>
  </si>
  <si>
    <t>93-254-ОП-МР-51</t>
  </si>
  <si>
    <t>доведение лимитов федеральным бюджетом</t>
  </si>
  <si>
    <t>после утверждения ПСД</t>
  </si>
  <si>
    <t>04</t>
  </si>
  <si>
    <t>переходящий объект</t>
  </si>
  <si>
    <t>в плане</t>
  </si>
  <si>
    <t>мероприятия выполнены</t>
  </si>
  <si>
    <t>в плане после проведения мероприятий по ремонту проезжей части участков на протяжении всей автодороги</t>
  </si>
  <si>
    <t>2024-2025</t>
  </si>
  <si>
    <t>необходима разработка проектного решения</t>
  </si>
  <si>
    <t>31+000</t>
  </si>
  <si>
    <t>41+000</t>
  </si>
  <si>
    <t>51+000</t>
  </si>
  <si>
    <t>61+000</t>
  </si>
  <si>
    <t>Обеспечение сохранности автомобильных дорог (по городской агломерации) за счет мероприятий по содержанию</t>
  </si>
  <si>
    <t>Мероприятия по внедрению автоматизированных и роботизированных технологий организации дорожного движения и контроля за соблюдением правил дорожного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</si>
</sst>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"/>
    <numFmt numFmtId="165" formatCode="#,##0.00\ _₽"/>
    <numFmt numFmtId="166" formatCode="0.0"/>
    <numFmt numFmtId="167" formatCode="#,##0.00_р_."/>
    <numFmt numFmtId="168" formatCode="#,##0.000"/>
    <numFmt numFmtId="169" formatCode="#,##0.000\ _р_."/>
    <numFmt numFmtId="170" formatCode="#,##0.00\ _р_."/>
    <numFmt numFmtId="171" formatCode="#,##0.0"/>
  </numFmts>
  <fonts count="41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 Cyr"/>
      <family val="2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</font>
    <font>
      <b/>
      <i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Calibri"/>
      <family val="2"/>
      <charset val="204"/>
    </font>
    <font>
      <b/>
      <i/>
      <sz val="11"/>
      <name val="Times New Roman"/>
      <family val="1"/>
      <charset val="204"/>
    </font>
    <font>
      <sz val="11"/>
      <name val="Arial Narrow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  <charset val="204"/>
    </font>
    <font>
      <b/>
      <sz val="11"/>
      <color rgb="FFFF0000"/>
      <name val="Times New Roman"/>
      <family val="1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26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16" fillId="0" borderId="0"/>
    <xf numFmtId="0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54">
    <xf numFmtId="0" fontId="0" fillId="0" borderId="0" xfId="0"/>
    <xf numFmtId="0" fontId="9" fillId="0" borderId="0" xfId="0" applyFont="1"/>
    <xf numFmtId="0" fontId="12" fillId="0" borderId="2" xfId="1" applyFont="1" applyFill="1" applyBorder="1" applyAlignment="1">
      <alignment horizontal="center" vertical="center" wrapText="1"/>
    </xf>
    <xf numFmtId="0" fontId="9" fillId="0" borderId="0" xfId="0" applyFont="1" applyBorder="1"/>
    <xf numFmtId="0" fontId="13" fillId="2" borderId="3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2" fontId="17" fillId="0" borderId="2" xfId="2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14" fillId="6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/>
    <xf numFmtId="0" fontId="14" fillId="6" borderId="5" xfId="0" applyFont="1" applyFill="1" applyBorder="1" applyAlignment="1">
      <alignment horizontal="center" vertical="center" wrapText="1"/>
    </xf>
    <xf numFmtId="0" fontId="9" fillId="6" borderId="9" xfId="0" applyFont="1" applyFill="1" applyBorder="1"/>
    <xf numFmtId="0" fontId="14" fillId="6" borderId="10" xfId="0" applyFont="1" applyFill="1" applyBorder="1" applyAlignment="1">
      <alignment horizontal="center" vertical="center" wrapText="1"/>
    </xf>
    <xf numFmtId="0" fontId="9" fillId="7" borderId="0" xfId="0" applyFont="1" applyFill="1"/>
    <xf numFmtId="0" fontId="9" fillId="7" borderId="0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4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8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0" fontId="14" fillId="7" borderId="12" xfId="0" applyFont="1" applyFill="1" applyBorder="1" applyAlignment="1">
      <alignment vertical="center" wrapText="1"/>
    </xf>
    <xf numFmtId="0" fontId="14" fillId="7" borderId="19" xfId="0" applyFont="1" applyFill="1" applyBorder="1" applyAlignment="1">
      <alignment vertical="center" wrapText="1"/>
    </xf>
    <xf numFmtId="0" fontId="14" fillId="7" borderId="20" xfId="0" applyFont="1" applyFill="1" applyBorder="1" applyAlignment="1">
      <alignment vertical="center" wrapText="1"/>
    </xf>
    <xf numFmtId="0" fontId="14" fillId="7" borderId="21" xfId="0" applyFont="1" applyFill="1" applyBorder="1" applyAlignment="1">
      <alignment vertical="center" wrapText="1"/>
    </xf>
    <xf numFmtId="0" fontId="14" fillId="7" borderId="22" xfId="0" applyFont="1" applyFill="1" applyBorder="1" applyAlignment="1">
      <alignment vertical="center" wrapText="1"/>
    </xf>
    <xf numFmtId="0" fontId="9" fillId="0" borderId="0" xfId="0" applyFont="1" applyFill="1"/>
    <xf numFmtId="0" fontId="15" fillId="0" borderId="2" xfId="0" applyFont="1" applyBorder="1" applyAlignment="1">
      <alignment horizontal="center" vertical="center" wrapText="1"/>
    </xf>
    <xf numFmtId="0" fontId="9" fillId="4" borderId="0" xfId="0" applyFont="1" applyFill="1" applyBorder="1"/>
    <xf numFmtId="0" fontId="14" fillId="4" borderId="0" xfId="0" applyFont="1" applyFill="1" applyBorder="1" applyAlignment="1">
      <alignment horizontal="center" vertical="center" wrapText="1"/>
    </xf>
    <xf numFmtId="0" fontId="9" fillId="4" borderId="23" xfId="0" applyFont="1" applyFill="1" applyBorder="1"/>
    <xf numFmtId="0" fontId="14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/>
    <xf numFmtId="0" fontId="19" fillId="2" borderId="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9" fillId="7" borderId="23" xfId="0" applyFont="1" applyFill="1" applyBorder="1"/>
    <xf numFmtId="0" fontId="14" fillId="7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6" borderId="23" xfId="0" applyFont="1" applyFill="1" applyBorder="1"/>
    <xf numFmtId="0" fontId="13" fillId="2" borderId="2" xfId="0" applyFont="1" applyFill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0" fillId="2" borderId="0" xfId="1" applyFont="1" applyFill="1" applyBorder="1" applyAlignment="1">
      <alignment vertical="center"/>
    </xf>
    <xf numFmtId="0" fontId="14" fillId="6" borderId="13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0" fillId="0" borderId="2" xfId="0" applyFont="1" applyBorder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7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9" borderId="2" xfId="0" applyFont="1" applyFill="1" applyBorder="1" applyAlignment="1">
      <alignment horizontal="center" vertical="center" wrapText="1"/>
    </xf>
    <xf numFmtId="0" fontId="7" fillId="10" borderId="2" xfId="0" applyFont="1" applyFill="1" applyBorder="1"/>
    <xf numFmtId="0" fontId="20" fillId="9" borderId="2" xfId="0" applyFont="1" applyFill="1" applyBorder="1"/>
    <xf numFmtId="0" fontId="24" fillId="9" borderId="2" xfId="0" applyFont="1" applyFill="1" applyBorder="1" applyAlignment="1">
      <alignment horizontal="center" vertical="center" wrapText="1"/>
    </xf>
    <xf numFmtId="0" fontId="0" fillId="0" borderId="0" xfId="0" applyFont="1"/>
    <xf numFmtId="0" fontId="21" fillId="9" borderId="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vertical="center"/>
    </xf>
    <xf numFmtId="0" fontId="14" fillId="6" borderId="3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vertical="center" wrapText="1"/>
    </xf>
    <xf numFmtId="0" fontId="9" fillId="0" borderId="3" xfId="0" applyFont="1" applyFill="1" applyBorder="1"/>
    <xf numFmtId="0" fontId="14" fillId="7" borderId="25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20" fillId="0" borderId="2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vertical="center" wrapText="1"/>
    </xf>
    <xf numFmtId="0" fontId="9" fillId="11" borderId="2" xfId="0" applyFont="1" applyFill="1" applyBorder="1"/>
    <xf numFmtId="0" fontId="13" fillId="11" borderId="2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left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vertical="center" wrapText="1"/>
    </xf>
    <xf numFmtId="0" fontId="14" fillId="11" borderId="14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9" fillId="11" borderId="0" xfId="0" applyFont="1" applyFill="1" applyBorder="1"/>
    <xf numFmtId="0" fontId="9" fillId="11" borderId="0" xfId="0" applyFont="1" applyFill="1"/>
    <xf numFmtId="0" fontId="13" fillId="11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0" fontId="7" fillId="0" borderId="38" xfId="0" applyFont="1" applyBorder="1"/>
    <xf numFmtId="0" fontId="7" fillId="0" borderId="21" xfId="0" applyFont="1" applyBorder="1"/>
    <xf numFmtId="0" fontId="7" fillId="0" borderId="40" xfId="0" applyFont="1" applyBorder="1"/>
    <xf numFmtId="0" fontId="31" fillId="0" borderId="21" xfId="1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/>
    </xf>
    <xf numFmtId="0" fontId="9" fillId="6" borderId="0" xfId="0" applyFont="1" applyFill="1"/>
    <xf numFmtId="0" fontId="21" fillId="0" borderId="2" xfId="0" applyFont="1" applyBorder="1" applyAlignment="1">
      <alignment horizontal="center" vertical="center" wrapText="1"/>
    </xf>
    <xf numFmtId="0" fontId="14" fillId="7" borderId="0" xfId="0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/>
    </xf>
    <xf numFmtId="14" fontId="15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/>
    <xf numFmtId="0" fontId="37" fillId="0" borderId="0" xfId="0" applyFont="1"/>
    <xf numFmtId="0" fontId="2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7" fillId="10" borderId="2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 vertical="center"/>
    </xf>
    <xf numFmtId="164" fontId="24" fillId="12" borderId="2" xfId="0" applyNumberFormat="1" applyFont="1" applyFill="1" applyBorder="1" applyAlignment="1">
      <alignment horizontal="center" vertical="center" wrapText="1"/>
    </xf>
    <xf numFmtId="164" fontId="7" fillId="12" borderId="2" xfId="0" applyNumberFormat="1" applyFont="1" applyFill="1" applyBorder="1" applyAlignment="1" applyProtection="1">
      <alignment horizontal="center" vertical="top"/>
    </xf>
    <xf numFmtId="164" fontId="21" fillId="9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wrapText="1"/>
    </xf>
    <xf numFmtId="0" fontId="24" fillId="0" borderId="2" xfId="0" applyNumberFormat="1" applyFont="1" applyBorder="1" applyAlignment="1">
      <alignment horizontal="center" vertical="center" wrapText="1"/>
    </xf>
    <xf numFmtId="166" fontId="21" fillId="9" borderId="2" xfId="0" applyNumberFormat="1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right" vertical="center" wrapText="1"/>
    </xf>
    <xf numFmtId="2" fontId="14" fillId="11" borderId="2" xfId="0" applyNumberFormat="1" applyFont="1" applyFill="1" applyBorder="1" applyAlignment="1">
      <alignment vertical="center" wrapText="1"/>
    </xf>
    <xf numFmtId="166" fontId="24" fillId="0" borderId="2" xfId="0" applyNumberFormat="1" applyFont="1" applyBorder="1" applyAlignment="1">
      <alignment horizontal="center" vertical="center" wrapText="1"/>
    </xf>
    <xf numFmtId="2" fontId="7" fillId="0" borderId="2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left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166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2" fontId="21" fillId="9" borderId="2" xfId="0" applyNumberFormat="1" applyFont="1" applyFill="1" applyBorder="1" applyAlignment="1">
      <alignment horizontal="center" vertical="center"/>
    </xf>
    <xf numFmtId="164" fontId="6" fillId="10" borderId="2" xfId="0" applyNumberFormat="1" applyFont="1" applyFill="1" applyBorder="1" applyAlignment="1">
      <alignment horizontal="center" vertical="center"/>
    </xf>
    <xf numFmtId="164" fontId="24" fillId="12" borderId="2" xfId="0" applyNumberFormat="1" applyFont="1" applyFill="1" applyBorder="1" applyAlignment="1">
      <alignment horizontal="center" vertical="top" wrapText="1"/>
    </xf>
    <xf numFmtId="2" fontId="13" fillId="2" borderId="2" xfId="0" applyNumberFormat="1" applyFont="1" applyFill="1" applyBorder="1" applyAlignment="1">
      <alignment vertical="center"/>
    </xf>
    <xf numFmtId="165" fontId="14" fillId="11" borderId="2" xfId="0" applyNumberFormat="1" applyFont="1" applyFill="1" applyBorder="1" applyAlignment="1">
      <alignment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Border="1"/>
    <xf numFmtId="164" fontId="6" fillId="0" borderId="44" xfId="0" applyNumberFormat="1" applyFont="1" applyBorder="1"/>
    <xf numFmtId="0" fontId="24" fillId="12" borderId="2" xfId="0" applyFont="1" applyFill="1" applyBorder="1" applyAlignment="1">
      <alignment horizontal="center" vertical="center"/>
    </xf>
    <xf numFmtId="0" fontId="7" fillId="12" borderId="13" xfId="0" applyNumberFormat="1" applyFont="1" applyFill="1" applyBorder="1" applyAlignment="1" applyProtection="1">
      <alignment vertical="center" wrapText="1"/>
    </xf>
    <xf numFmtId="0" fontId="7" fillId="12" borderId="13" xfId="0" applyNumberFormat="1" applyFont="1" applyFill="1" applyBorder="1" applyAlignment="1" applyProtection="1">
      <alignment horizontal="left" vertical="center" wrapText="1"/>
    </xf>
    <xf numFmtId="0" fontId="7" fillId="12" borderId="2" xfId="0" applyNumberFormat="1" applyFont="1" applyFill="1" applyBorder="1" applyAlignment="1" applyProtection="1">
      <alignment horizontal="left" vertical="top" wrapText="1"/>
    </xf>
    <xf numFmtId="0" fontId="7" fillId="12" borderId="10" xfId="0" applyNumberFormat="1" applyFont="1" applyFill="1" applyBorder="1" applyAlignment="1" applyProtection="1">
      <alignment horizontal="left" vertical="top" wrapText="1"/>
    </xf>
    <xf numFmtId="2" fontId="14" fillId="4" borderId="2" xfId="0" applyNumberFormat="1" applyFont="1" applyFill="1" applyBorder="1" applyAlignment="1">
      <alignment horizontal="center" vertical="center" wrapText="1"/>
    </xf>
    <xf numFmtId="164" fontId="14" fillId="11" borderId="2" xfId="0" applyNumberFormat="1" applyFont="1" applyFill="1" applyBorder="1" applyAlignment="1">
      <alignment vertical="center" wrapText="1"/>
    </xf>
    <xf numFmtId="167" fontId="14" fillId="11" borderId="2" xfId="0" applyNumberFormat="1" applyFont="1" applyFill="1" applyBorder="1" applyAlignment="1">
      <alignment vertical="center" wrapText="1"/>
    </xf>
    <xf numFmtId="4" fontId="14" fillId="4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/>
    </xf>
    <xf numFmtId="2" fontId="7" fillId="12" borderId="2" xfId="2" applyNumberFormat="1" applyFont="1" applyFill="1" applyBorder="1" applyAlignment="1">
      <alignment horizontal="center" vertical="center" wrapText="1"/>
    </xf>
    <xf numFmtId="2" fontId="24" fillId="12" borderId="2" xfId="0" applyNumberFormat="1" applyFont="1" applyFill="1" applyBorder="1" applyAlignment="1">
      <alignment horizontal="center" vertical="center" wrapText="1"/>
    </xf>
    <xf numFmtId="166" fontId="24" fillId="12" borderId="2" xfId="0" applyNumberFormat="1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2" fontId="6" fillId="10" borderId="2" xfId="0" applyNumberFormat="1" applyFont="1" applyFill="1" applyBorder="1" applyAlignment="1">
      <alignment horizontal="center" vertical="center"/>
    </xf>
    <xf numFmtId="0" fontId="0" fillId="12" borderId="0" xfId="0" applyFill="1"/>
    <xf numFmtId="2" fontId="24" fillId="12" borderId="2" xfId="0" applyNumberFormat="1" applyFont="1" applyFill="1" applyBorder="1" applyAlignment="1">
      <alignment horizontal="right" vertical="center" wrapText="1"/>
    </xf>
    <xf numFmtId="2" fontId="15" fillId="12" borderId="2" xfId="0" applyNumberFormat="1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13" xfId="0" applyFont="1" applyFill="1" applyBorder="1" applyAlignment="1">
      <alignment vertical="center" wrapText="1"/>
    </xf>
    <xf numFmtId="0" fontId="14" fillId="12" borderId="2" xfId="0" applyFont="1" applyFill="1" applyBorder="1" applyAlignment="1">
      <alignment vertical="center" wrapText="1"/>
    </xf>
    <xf numFmtId="2" fontId="17" fillId="12" borderId="2" xfId="2" applyNumberFormat="1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left" vertical="center" wrapText="1"/>
    </xf>
    <xf numFmtId="0" fontId="9" fillId="12" borderId="0" xfId="0" applyFont="1" applyFill="1"/>
    <xf numFmtId="168" fontId="14" fillId="0" borderId="0" xfId="0" applyNumberFormat="1" applyFont="1" applyBorder="1" applyAlignment="1">
      <alignment vertical="center" wrapText="1"/>
    </xf>
    <xf numFmtId="4" fontId="39" fillId="0" borderId="0" xfId="0" applyNumberFormat="1" applyFont="1" applyBorder="1" applyAlignment="1">
      <alignment vertical="center" wrapText="1"/>
    </xf>
    <xf numFmtId="0" fontId="0" fillId="12" borderId="0" xfId="0" applyFont="1" applyFill="1"/>
    <xf numFmtId="164" fontId="0" fillId="12" borderId="0" xfId="0" applyNumberFormat="1" applyFont="1" applyFill="1"/>
    <xf numFmtId="164" fontId="24" fillId="12" borderId="0" xfId="0" applyNumberFormat="1" applyFont="1" applyFill="1" applyBorder="1" applyAlignment="1">
      <alignment horizontal="center" vertical="top" wrapText="1"/>
    </xf>
    <xf numFmtId="166" fontId="24" fillId="12" borderId="2" xfId="0" applyNumberFormat="1" applyFont="1" applyFill="1" applyBorder="1" applyAlignment="1">
      <alignment horizontal="center" vertical="top"/>
    </xf>
    <xf numFmtId="0" fontId="14" fillId="12" borderId="11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/>
    <xf numFmtId="0" fontId="14" fillId="12" borderId="8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right" vertical="center" wrapText="1"/>
    </xf>
    <xf numFmtId="165" fontId="14" fillId="4" borderId="2" xfId="0" applyNumberFormat="1" applyFont="1" applyFill="1" applyBorder="1" applyAlignment="1">
      <alignment horizontal="right" vertical="center" wrapText="1"/>
    </xf>
    <xf numFmtId="164" fontId="13" fillId="2" borderId="2" xfId="0" applyNumberFormat="1" applyFont="1" applyFill="1" applyBorder="1" applyAlignment="1">
      <alignment vertical="center"/>
    </xf>
    <xf numFmtId="2" fontId="24" fillId="0" borderId="2" xfId="0" applyNumberFormat="1" applyFont="1" applyFill="1" applyBorder="1" applyAlignment="1">
      <alignment horizontal="right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wrapText="1"/>
    </xf>
    <xf numFmtId="0" fontId="24" fillId="0" borderId="2" xfId="0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31" fillId="15" borderId="2" xfId="0" applyFont="1" applyFill="1" applyBorder="1" applyAlignment="1">
      <alignment vertical="center"/>
    </xf>
    <xf numFmtId="0" fontId="31" fillId="13" borderId="2" xfId="0" applyFont="1" applyFill="1" applyBorder="1" applyAlignment="1">
      <alignment vertical="center"/>
    </xf>
    <xf numFmtId="0" fontId="31" fillId="13" borderId="2" xfId="0" applyFont="1" applyFill="1" applyBorder="1" applyAlignment="1">
      <alignment horizontal="center" vertical="center"/>
    </xf>
    <xf numFmtId="164" fontId="6" fillId="13" borderId="2" xfId="2" applyNumberFormat="1" applyFont="1" applyFill="1" applyBorder="1" applyAlignment="1">
      <alignment horizontal="right" vertical="center" wrapText="1"/>
    </xf>
    <xf numFmtId="2" fontId="6" fillId="13" borderId="2" xfId="2" applyNumberFormat="1" applyFont="1" applyFill="1" applyBorder="1" applyAlignment="1">
      <alignment horizontal="right" vertical="center" wrapText="1"/>
    </xf>
    <xf numFmtId="2" fontId="21" fillId="13" borderId="2" xfId="0" applyNumberFormat="1" applyFont="1" applyFill="1" applyBorder="1" applyAlignment="1">
      <alignment horizontal="center" vertical="center" wrapText="1"/>
    </xf>
    <xf numFmtId="166" fontId="21" fillId="13" borderId="2" xfId="0" applyNumberFormat="1" applyFont="1" applyFill="1" applyBorder="1" applyAlignment="1">
      <alignment horizontal="center" vertical="center" wrapText="1"/>
    </xf>
    <xf numFmtId="166" fontId="24" fillId="13" borderId="2" xfId="0" applyNumberFormat="1" applyFont="1" applyFill="1" applyBorder="1" applyAlignment="1">
      <alignment horizontal="center" vertical="center" wrapText="1"/>
    </xf>
    <xf numFmtId="1" fontId="2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1" fillId="13" borderId="55" xfId="0" applyFont="1" applyFill="1" applyBorder="1" applyAlignment="1">
      <alignment horizontal="center" vertical="center" wrapText="1"/>
    </xf>
    <xf numFmtId="0" fontId="21" fillId="13" borderId="41" xfId="0" applyFont="1" applyFill="1" applyBorder="1" applyAlignment="1">
      <alignment horizontal="center" vertical="center" wrapText="1"/>
    </xf>
    <xf numFmtId="0" fontId="6" fillId="13" borderId="41" xfId="0" applyFont="1" applyFill="1" applyBorder="1" applyAlignment="1">
      <alignment horizontal="center" vertical="center" wrapText="1"/>
    </xf>
    <xf numFmtId="2" fontId="6" fillId="13" borderId="41" xfId="2" applyNumberFormat="1" applyFont="1" applyFill="1" applyBorder="1" applyAlignment="1">
      <alignment horizontal="right" vertical="center" wrapText="1"/>
    </xf>
    <xf numFmtId="164" fontId="2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31" fillId="15" borderId="45" xfId="0" applyFont="1" applyFill="1" applyBorder="1" applyAlignment="1">
      <alignment vertical="center"/>
    </xf>
    <xf numFmtId="0" fontId="31" fillId="13" borderId="29" xfId="0" applyFont="1" applyFill="1" applyBorder="1" applyAlignment="1">
      <alignment vertical="center"/>
    </xf>
    <xf numFmtId="0" fontId="31" fillId="13" borderId="29" xfId="0" applyFont="1" applyFill="1" applyBorder="1" applyAlignment="1">
      <alignment horizontal="center" vertical="center"/>
    </xf>
    <xf numFmtId="164" fontId="31" fillId="15" borderId="29" xfId="0" applyNumberFormat="1" applyFont="1" applyFill="1" applyBorder="1" applyAlignment="1">
      <alignment vertical="center"/>
    </xf>
    <xf numFmtId="2" fontId="21" fillId="13" borderId="29" xfId="0" applyNumberFormat="1" applyFont="1" applyFill="1" applyBorder="1" applyAlignment="1">
      <alignment horizontal="center" vertical="center" wrapText="1"/>
    </xf>
    <xf numFmtId="2" fontId="21" fillId="13" borderId="30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/>
    <xf numFmtId="166" fontId="24" fillId="0" borderId="15" xfId="0" applyNumberFormat="1" applyFont="1" applyFill="1" applyBorder="1" applyAlignment="1">
      <alignment horizontal="center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1" fillId="9" borderId="2" xfId="0" applyNumberFormat="1" applyFont="1" applyFill="1" applyBorder="1" applyAlignment="1">
      <alignment horizontal="center" vertical="center" wrapText="1"/>
    </xf>
    <xf numFmtId="166" fontId="6" fillId="10" borderId="2" xfId="0" applyNumberFormat="1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2" fontId="24" fillId="0" borderId="24" xfId="0" applyNumberFormat="1" applyFont="1" applyFill="1" applyBorder="1" applyAlignment="1">
      <alignment horizontal="center" vertical="center" wrapText="1"/>
    </xf>
    <xf numFmtId="4" fontId="38" fillId="12" borderId="2" xfId="0" applyNumberFormat="1" applyFont="1" applyFill="1" applyBorder="1"/>
    <xf numFmtId="164" fontId="21" fillId="0" borderId="2" xfId="0" applyNumberFormat="1" applyFont="1" applyBorder="1" applyAlignment="1">
      <alignment horizontal="center" vertical="center" wrapText="1"/>
    </xf>
    <xf numFmtId="164" fontId="38" fillId="12" borderId="2" xfId="0" applyNumberFormat="1" applyFont="1" applyFill="1" applyBorder="1"/>
    <xf numFmtId="4" fontId="14" fillId="4" borderId="2" xfId="0" applyNumberFormat="1" applyFont="1" applyFill="1" applyBorder="1" applyAlignment="1">
      <alignment horizontal="right" vertical="center" wrapText="1"/>
    </xf>
    <xf numFmtId="165" fontId="14" fillId="4" borderId="2" xfId="0" applyNumberFormat="1" applyFont="1" applyFill="1" applyBorder="1" applyAlignment="1">
      <alignment vertical="center" wrapText="1"/>
    </xf>
    <xf numFmtId="170" fontId="14" fillId="4" borderId="2" xfId="0" applyNumberFormat="1" applyFont="1" applyFill="1" applyBorder="1" applyAlignment="1">
      <alignment horizontal="center" vertical="center" wrapText="1"/>
    </xf>
    <xf numFmtId="170" fontId="14" fillId="11" borderId="2" xfId="0" applyNumberFormat="1" applyFont="1" applyFill="1" applyBorder="1" applyAlignment="1">
      <alignment horizontal="right" vertical="center" wrapText="1"/>
    </xf>
    <xf numFmtId="170" fontId="14" fillId="4" borderId="2" xfId="0" applyNumberFormat="1" applyFont="1" applyFill="1" applyBorder="1" applyAlignment="1">
      <alignment horizontal="right" vertical="center" wrapText="1"/>
    </xf>
    <xf numFmtId="2" fontId="15" fillId="0" borderId="2" xfId="0" applyNumberFormat="1" applyFont="1" applyFill="1" applyBorder="1" applyAlignment="1">
      <alignment horizontal="right" vertical="center" wrapText="1"/>
    </xf>
    <xf numFmtId="0" fontId="24" fillId="0" borderId="15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2" fontId="7" fillId="0" borderId="15" xfId="2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/>
    </xf>
    <xf numFmtId="2" fontId="24" fillId="0" borderId="15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2" fontId="24" fillId="0" borderId="1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2" fontId="9" fillId="0" borderId="2" xfId="0" applyNumberFormat="1" applyFont="1" applyFill="1" applyBorder="1"/>
    <xf numFmtId="0" fontId="9" fillId="0" borderId="2" xfId="0" applyFont="1" applyFill="1" applyBorder="1" applyAlignment="1">
      <alignment horizontal="center"/>
    </xf>
    <xf numFmtId="168" fontId="14" fillId="0" borderId="2" xfId="0" applyNumberFormat="1" applyFont="1" applyBorder="1" applyAlignment="1">
      <alignment horizontal="center" vertical="center" wrapText="1"/>
    </xf>
    <xf numFmtId="168" fontId="24" fillId="1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vertical="center"/>
    </xf>
    <xf numFmtId="171" fontId="13" fillId="2" borderId="2" xfId="0" applyNumberFormat="1" applyFont="1" applyFill="1" applyBorder="1" applyAlignment="1">
      <alignment vertical="center"/>
    </xf>
    <xf numFmtId="0" fontId="9" fillId="12" borderId="0" xfId="0" applyFont="1" applyFill="1" applyAlignment="1">
      <alignment horizontal="center"/>
    </xf>
    <xf numFmtId="2" fontId="24" fillId="0" borderId="2" xfId="0" applyNumberFormat="1" applyFont="1" applyBorder="1" applyAlignment="1">
      <alignment horizontal="center" vertical="center" wrapText="1"/>
    </xf>
    <xf numFmtId="165" fontId="24" fillId="0" borderId="2" xfId="0" applyNumberFormat="1" applyFont="1" applyFill="1" applyBorder="1" applyAlignment="1">
      <alignment horizontal="center" vertical="center" wrapText="1"/>
    </xf>
    <xf numFmtId="165" fontId="24" fillId="12" borderId="2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left" wrapText="1"/>
    </xf>
    <xf numFmtId="2" fontId="0" fillId="0" borderId="0" xfId="0" applyNumberFormat="1"/>
    <xf numFmtId="0" fontId="31" fillId="0" borderId="21" xfId="8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14" xfId="0" applyFont="1" applyBorder="1"/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6" xfId="0" applyFont="1" applyBorder="1"/>
    <xf numFmtId="0" fontId="7" fillId="0" borderId="15" xfId="0" applyFont="1" applyBorder="1"/>
    <xf numFmtId="2" fontId="24" fillId="0" borderId="38" xfId="0" applyNumberFormat="1" applyFont="1" applyFill="1" applyBorder="1" applyAlignment="1">
      <alignment horizontal="right" vertical="center" wrapText="1"/>
    </xf>
    <xf numFmtId="2" fontId="24" fillId="12" borderId="38" xfId="0" applyNumberFormat="1" applyFont="1" applyFill="1" applyBorder="1" applyAlignment="1">
      <alignment horizontal="right" vertical="center" wrapText="1"/>
    </xf>
    <xf numFmtId="2" fontId="24" fillId="0" borderId="38" xfId="0" applyNumberFormat="1" applyFont="1" applyBorder="1" applyAlignment="1">
      <alignment horizontal="right" vertical="center" wrapText="1"/>
    </xf>
    <xf numFmtId="0" fontId="24" fillId="0" borderId="38" xfId="0" applyFont="1" applyBorder="1" applyAlignment="1">
      <alignment horizontal="right" vertical="center" wrapText="1"/>
    </xf>
    <xf numFmtId="0" fontId="24" fillId="12" borderId="38" xfId="0" applyFont="1" applyFill="1" applyBorder="1" applyAlignment="1">
      <alignment horizontal="right" vertical="center" wrapText="1"/>
    </xf>
    <xf numFmtId="0" fontId="24" fillId="0" borderId="37" xfId="0" applyFont="1" applyBorder="1" applyAlignment="1">
      <alignment horizontal="right" vertical="center" wrapText="1"/>
    </xf>
    <xf numFmtId="2" fontId="15" fillId="12" borderId="38" xfId="0" applyNumberFormat="1" applyFont="1" applyFill="1" applyBorder="1" applyAlignment="1">
      <alignment horizontal="right" vertical="center" wrapText="1"/>
    </xf>
    <xf numFmtId="2" fontId="24" fillId="12" borderId="38" xfId="0" applyNumberFormat="1" applyFont="1" applyFill="1" applyBorder="1" applyAlignment="1">
      <alignment vertical="center" wrapText="1"/>
    </xf>
    <xf numFmtId="2" fontId="15" fillId="12" borderId="38" xfId="0" applyNumberFormat="1" applyFont="1" applyFill="1" applyBorder="1" applyAlignment="1">
      <alignment vertical="center" wrapText="1"/>
    </xf>
    <xf numFmtId="2" fontId="15" fillId="0" borderId="38" xfId="0" applyNumberFormat="1" applyFont="1" applyBorder="1" applyAlignment="1">
      <alignment vertical="center" wrapText="1"/>
    </xf>
    <xf numFmtId="0" fontId="24" fillId="0" borderId="38" xfId="0" applyFont="1" applyBorder="1" applyAlignment="1">
      <alignment vertical="center" wrapText="1"/>
    </xf>
    <xf numFmtId="0" fontId="0" fillId="0" borderId="57" xfId="0" applyFont="1" applyBorder="1" applyAlignment="1"/>
    <xf numFmtId="2" fontId="24" fillId="0" borderId="38" xfId="0" applyNumberFormat="1" applyFont="1" applyFill="1" applyBorder="1" applyAlignment="1">
      <alignment vertical="center" wrapText="1"/>
    </xf>
    <xf numFmtId="0" fontId="12" fillId="0" borderId="2" xfId="9" applyFont="1" applyFill="1" applyBorder="1" applyAlignment="1">
      <alignment horizontal="center" vertical="center" wrapText="1"/>
    </xf>
    <xf numFmtId="0" fontId="12" fillId="2" borderId="2" xfId="9" applyFont="1" applyFill="1" applyBorder="1" applyAlignment="1">
      <alignment horizontal="center" vertical="center"/>
    </xf>
    <xf numFmtId="0" fontId="12" fillId="2" borderId="2" xfId="9" applyFont="1" applyFill="1" applyBorder="1" applyAlignment="1">
      <alignment horizontal="center" vertical="center" wrapText="1"/>
    </xf>
    <xf numFmtId="0" fontId="6" fillId="0" borderId="2" xfId="0" applyFont="1" applyBorder="1"/>
    <xf numFmtId="0" fontId="40" fillId="0" borderId="26" xfId="0" applyFont="1" applyBorder="1"/>
    <xf numFmtId="0" fontId="40" fillId="0" borderId="44" xfId="0" applyFont="1" applyBorder="1"/>
    <xf numFmtId="0" fontId="7" fillId="0" borderId="15" xfId="0" applyFont="1" applyBorder="1" applyAlignment="1">
      <alignment horizontal="center"/>
    </xf>
    <xf numFmtId="0" fontId="12" fillId="12" borderId="2" xfId="0" applyFont="1" applyFill="1" applyBorder="1"/>
    <xf numFmtId="0" fontId="12" fillId="12" borderId="2" xfId="0" applyFont="1" applyFill="1" applyBorder="1" applyAlignment="1">
      <alignment wrapText="1"/>
    </xf>
    <xf numFmtId="166" fontId="31" fillId="15" borderId="29" xfId="0" applyNumberFormat="1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1" fontId="6" fillId="10" borderId="2" xfId="0" applyNumberFormat="1" applyFont="1" applyFill="1" applyBorder="1" applyAlignment="1">
      <alignment horizontal="center" vertical="center"/>
    </xf>
    <xf numFmtId="1" fontId="6" fillId="14" borderId="2" xfId="0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4" fillId="12" borderId="15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2" fontId="9" fillId="0" borderId="13" xfId="2" applyNumberFormat="1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12" borderId="13" xfId="0" applyFont="1" applyFill="1" applyBorder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24" fillId="12" borderId="13" xfId="0" applyFont="1" applyFill="1" applyBorder="1" applyAlignment="1">
      <alignment horizontal="right" vertical="center" wrapText="1"/>
    </xf>
    <xf numFmtId="0" fontId="24" fillId="12" borderId="15" xfId="0" applyFont="1" applyFill="1" applyBorder="1" applyAlignment="1">
      <alignment horizontal="right" vertical="center" wrapText="1"/>
    </xf>
    <xf numFmtId="164" fontId="24" fillId="12" borderId="15" xfId="0" applyNumberFormat="1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164" fontId="24" fillId="12" borderId="15" xfId="0" applyNumberFormat="1" applyFont="1" applyFill="1" applyBorder="1" applyAlignment="1">
      <alignment horizontal="center" vertical="top" wrapText="1"/>
    </xf>
    <xf numFmtId="0" fontId="7" fillId="12" borderId="15" xfId="0" applyNumberFormat="1" applyFont="1" applyFill="1" applyBorder="1" applyAlignment="1" applyProtection="1">
      <alignment vertical="center" wrapText="1"/>
    </xf>
    <xf numFmtId="0" fontId="7" fillId="12" borderId="2" xfId="0" applyNumberFormat="1" applyFont="1" applyFill="1" applyBorder="1" applyAlignment="1" applyProtection="1">
      <alignment horizontal="left" vertical="center" wrapText="1"/>
    </xf>
    <xf numFmtId="0" fontId="7" fillId="12" borderId="13" xfId="0" applyNumberFormat="1" applyFont="1" applyFill="1" applyBorder="1" applyAlignment="1" applyProtection="1">
      <alignment horizontal="left" vertical="top" wrapText="1"/>
    </xf>
    <xf numFmtId="0" fontId="24" fillId="12" borderId="13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2" fontId="7" fillId="0" borderId="2" xfId="0" applyNumberFormat="1" applyFont="1" applyBorder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4" fillId="6" borderId="2" xfId="0" applyNumberFormat="1" applyFont="1" applyFill="1" applyBorder="1" applyAlignment="1">
      <alignment horizontal="center" vertical="center" wrapText="1"/>
    </xf>
    <xf numFmtId="164" fontId="7" fillId="12" borderId="13" xfId="0" applyNumberFormat="1" applyFont="1" applyFill="1" applyBorder="1" applyAlignment="1" applyProtection="1">
      <alignment horizontal="center" vertical="top"/>
    </xf>
    <xf numFmtId="2" fontId="14" fillId="6" borderId="2" xfId="0" applyNumberFormat="1" applyFont="1" applyFill="1" applyBorder="1" applyAlignment="1">
      <alignment horizontal="center" vertical="center" wrapText="1"/>
    </xf>
    <xf numFmtId="2" fontId="15" fillId="12" borderId="15" xfId="0" applyNumberFormat="1" applyFont="1" applyFill="1" applyBorder="1" applyAlignment="1">
      <alignment horizontal="right" vertical="center" wrapText="1"/>
    </xf>
    <xf numFmtId="0" fontId="24" fillId="12" borderId="15" xfId="0" applyFont="1" applyFill="1" applyBorder="1" applyAlignment="1">
      <alignment horizontal="left" vertical="center" wrapText="1"/>
    </xf>
    <xf numFmtId="165" fontId="24" fillId="12" borderId="15" xfId="0" applyNumberFormat="1" applyFont="1" applyFill="1" applyBorder="1" applyAlignment="1">
      <alignment vertical="center" wrapText="1"/>
    </xf>
    <xf numFmtId="164" fontId="9" fillId="12" borderId="15" xfId="2" applyNumberFormat="1" applyFont="1" applyFill="1" applyBorder="1" applyAlignment="1">
      <alignment horizontal="center" vertical="center" wrapText="1"/>
    </xf>
    <xf numFmtId="2" fontId="9" fillId="12" borderId="15" xfId="2" applyNumberFormat="1" applyFont="1" applyFill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 wrapText="1"/>
    </xf>
    <xf numFmtId="2" fontId="7" fillId="0" borderId="2" xfId="2" applyNumberFormat="1" applyFont="1" applyFill="1" applyBorder="1" applyAlignment="1">
      <alignment horizontal="left" vertical="center" wrapText="1"/>
    </xf>
    <xf numFmtId="2" fontId="21" fillId="0" borderId="2" xfId="0" applyNumberFormat="1" applyFont="1" applyFill="1" applyBorder="1" applyAlignment="1">
      <alignment horizontal="right" vertical="center" wrapText="1"/>
    </xf>
    <xf numFmtId="0" fontId="21" fillId="0" borderId="2" xfId="0" applyFont="1" applyBorder="1" applyAlignment="1">
      <alignment horizontal="right" vertical="center" wrapText="1"/>
    </xf>
    <xf numFmtId="2" fontId="21" fillId="0" borderId="2" xfId="0" applyNumberFormat="1" applyFont="1" applyBorder="1" applyAlignment="1">
      <alignment horizontal="right" vertical="center" wrapText="1"/>
    </xf>
    <xf numFmtId="0" fontId="9" fillId="12" borderId="2" xfId="2" applyFont="1" applyFill="1" applyBorder="1" applyAlignment="1">
      <alignment horizontal="left" vertical="center" wrapText="1"/>
    </xf>
    <xf numFmtId="0" fontId="35" fillId="12" borderId="2" xfId="0" applyNumberFormat="1" applyFont="1" applyFill="1" applyBorder="1" applyAlignment="1" applyProtection="1">
      <alignment horizontal="left" vertical="center" wrapText="1"/>
    </xf>
    <xf numFmtId="165" fontId="9" fillId="0" borderId="13" xfId="2" applyNumberFormat="1" applyFont="1" applyFill="1" applyBorder="1" applyAlignment="1">
      <alignment horizontal="center" vertical="center" wrapText="1"/>
    </xf>
    <xf numFmtId="165" fontId="9" fillId="0" borderId="15" xfId="2" applyNumberFormat="1" applyFont="1" applyFill="1" applyBorder="1" applyAlignment="1">
      <alignment horizontal="center" vertical="center" wrapText="1"/>
    </xf>
    <xf numFmtId="2" fontId="7" fillId="0" borderId="13" xfId="2" applyNumberFormat="1" applyFont="1" applyFill="1" applyBorder="1" applyAlignment="1">
      <alignment vertical="center" wrapText="1"/>
    </xf>
    <xf numFmtId="2" fontId="7" fillId="0" borderId="15" xfId="2" applyNumberFormat="1" applyFont="1" applyFill="1" applyBorder="1" applyAlignment="1">
      <alignment vertical="center" wrapText="1"/>
    </xf>
    <xf numFmtId="2" fontId="9" fillId="0" borderId="13" xfId="2" applyNumberFormat="1" applyFont="1" applyFill="1" applyBorder="1" applyAlignment="1">
      <alignment horizontal="center" vertical="center" wrapText="1"/>
    </xf>
    <xf numFmtId="2" fontId="9" fillId="0" borderId="15" xfId="2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9" fillId="0" borderId="13" xfId="2" applyNumberFormat="1" applyFont="1" applyFill="1" applyBorder="1" applyAlignment="1">
      <alignment vertical="center" wrapText="1"/>
    </xf>
    <xf numFmtId="2" fontId="9" fillId="0" borderId="15" xfId="2" applyNumberFormat="1" applyFont="1" applyFill="1" applyBorder="1" applyAlignment="1">
      <alignment vertical="center" wrapText="1"/>
    </xf>
    <xf numFmtId="1" fontId="9" fillId="0" borderId="13" xfId="2" applyNumberFormat="1" applyFont="1" applyFill="1" applyBorder="1" applyAlignment="1">
      <alignment horizontal="center" vertical="center" wrapText="1"/>
    </xf>
    <xf numFmtId="1" fontId="9" fillId="0" borderId="15" xfId="2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15" fillId="12" borderId="13" xfId="0" applyNumberFormat="1" applyFont="1" applyFill="1" applyBorder="1" applyAlignment="1">
      <alignment horizontal="right" vertical="center" wrapText="1"/>
    </xf>
    <xf numFmtId="2" fontId="15" fillId="12" borderId="15" xfId="0" applyNumberFormat="1" applyFont="1" applyFill="1" applyBorder="1" applyAlignment="1">
      <alignment horizontal="right" vertical="center" wrapText="1"/>
    </xf>
    <xf numFmtId="0" fontId="24" fillId="12" borderId="13" xfId="0" applyFont="1" applyFill="1" applyBorder="1" applyAlignment="1">
      <alignment horizontal="left" vertical="center" wrapText="1"/>
    </xf>
    <xf numFmtId="0" fontId="24" fillId="12" borderId="15" xfId="0" applyFont="1" applyFill="1" applyBorder="1" applyAlignment="1">
      <alignment horizontal="left" vertical="center" wrapText="1"/>
    </xf>
    <xf numFmtId="165" fontId="24" fillId="12" borderId="13" xfId="0" applyNumberFormat="1" applyFont="1" applyFill="1" applyBorder="1" applyAlignment="1">
      <alignment vertical="center" wrapText="1"/>
    </xf>
    <xf numFmtId="165" fontId="24" fillId="12" borderId="15" xfId="0" applyNumberFormat="1" applyFont="1" applyFill="1" applyBorder="1" applyAlignment="1">
      <alignment vertical="center" wrapText="1"/>
    </xf>
    <xf numFmtId="0" fontId="14" fillId="12" borderId="13" xfId="0" applyFont="1" applyFill="1" applyBorder="1" applyAlignment="1">
      <alignment horizontal="center" vertical="center" wrapText="1"/>
    </xf>
    <xf numFmtId="0" fontId="14" fillId="12" borderId="15" xfId="0" applyFont="1" applyFill="1" applyBorder="1" applyAlignment="1">
      <alignment horizontal="center" vertical="center" wrapText="1"/>
    </xf>
    <xf numFmtId="0" fontId="24" fillId="12" borderId="13" xfId="0" applyFont="1" applyFill="1" applyBorder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9" fillId="12" borderId="13" xfId="2" applyFont="1" applyFill="1" applyBorder="1" applyAlignment="1">
      <alignment horizontal="left" vertical="center" wrapText="1"/>
    </xf>
    <xf numFmtId="0" fontId="9" fillId="12" borderId="15" xfId="2" applyFont="1" applyFill="1" applyBorder="1" applyAlignment="1">
      <alignment horizontal="left" vertical="center" wrapText="1"/>
    </xf>
    <xf numFmtId="164" fontId="9" fillId="12" borderId="13" xfId="2" applyNumberFormat="1" applyFont="1" applyFill="1" applyBorder="1" applyAlignment="1">
      <alignment horizontal="center" vertical="center" wrapText="1"/>
    </xf>
    <xf numFmtId="164" fontId="9" fillId="12" borderId="15" xfId="2" applyNumberFormat="1" applyFont="1" applyFill="1" applyBorder="1" applyAlignment="1">
      <alignment horizontal="center" vertical="center" wrapText="1"/>
    </xf>
    <xf numFmtId="2" fontId="9" fillId="12" borderId="13" xfId="2" applyNumberFormat="1" applyFont="1" applyFill="1" applyBorder="1" applyAlignment="1">
      <alignment horizontal="center" vertical="center" wrapText="1"/>
    </xf>
    <xf numFmtId="2" fontId="9" fillId="12" borderId="15" xfId="2" applyNumberFormat="1" applyFont="1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left" vertical="center" wrapText="1"/>
    </xf>
    <xf numFmtId="0" fontId="15" fillId="12" borderId="15" xfId="0" applyFont="1" applyFill="1" applyBorder="1" applyAlignment="1">
      <alignment horizontal="left" vertical="center" wrapText="1"/>
    </xf>
    <xf numFmtId="0" fontId="12" fillId="12" borderId="13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0" fontId="35" fillId="12" borderId="13" xfId="0" applyNumberFormat="1" applyFont="1" applyFill="1" applyBorder="1" applyAlignment="1" applyProtection="1">
      <alignment horizontal="left" vertical="center"/>
    </xf>
    <xf numFmtId="0" fontId="35" fillId="12" borderId="15" xfId="0" applyNumberFormat="1" applyFont="1" applyFill="1" applyBorder="1" applyAlignment="1" applyProtection="1">
      <alignment horizontal="left" vertical="center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5" fontId="14" fillId="4" borderId="13" xfId="0" applyNumberFormat="1" applyFont="1" applyFill="1" applyBorder="1" applyAlignment="1">
      <alignment horizontal="center" vertical="center" wrapText="1"/>
    </xf>
    <xf numFmtId="165" fontId="14" fillId="4" borderId="15" xfId="0" applyNumberFormat="1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7" fillId="0" borderId="13" xfId="0" applyNumberFormat="1" applyFont="1" applyFill="1" applyBorder="1" applyAlignment="1" applyProtection="1">
      <alignment vertical="center" wrapText="1"/>
    </xf>
    <xf numFmtId="0" fontId="7" fillId="0" borderId="15" xfId="0" applyNumberFormat="1" applyFont="1" applyFill="1" applyBorder="1" applyAlignment="1" applyProtection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4" fillId="12" borderId="13" xfId="0" applyFont="1" applyFill="1" applyBorder="1" applyAlignment="1">
      <alignment vertical="center" wrapText="1"/>
    </xf>
    <xf numFmtId="0" fontId="24" fillId="12" borderId="15" xfId="0" applyFont="1" applyFill="1" applyBorder="1" applyAlignment="1">
      <alignment vertical="center" wrapText="1"/>
    </xf>
    <xf numFmtId="165" fontId="24" fillId="12" borderId="13" xfId="0" applyNumberFormat="1" applyFont="1" applyFill="1" applyBorder="1" applyAlignment="1">
      <alignment horizontal="center" vertical="center" wrapText="1"/>
    </xf>
    <xf numFmtId="165" fontId="24" fillId="12" borderId="15" xfId="0" applyNumberFormat="1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5" xfId="0" applyFont="1" applyFill="1" applyBorder="1" applyAlignment="1">
      <alignment horizontal="left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left" vertical="center" wrapText="1"/>
    </xf>
    <xf numFmtId="0" fontId="14" fillId="7" borderId="15" xfId="0" applyFont="1" applyFill="1" applyBorder="1" applyAlignment="1">
      <alignment horizontal="left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4" fontId="14" fillId="7" borderId="13" xfId="0" applyNumberFormat="1" applyFont="1" applyFill="1" applyBorder="1" applyAlignment="1">
      <alignment horizontal="center" vertical="center" wrapText="1"/>
    </xf>
    <xf numFmtId="170" fontId="14" fillId="4" borderId="37" xfId="0" applyNumberFormat="1" applyFont="1" applyFill="1" applyBorder="1" applyAlignment="1">
      <alignment horizontal="center" vertical="center" wrapText="1"/>
    </xf>
    <xf numFmtId="170" fontId="14" fillId="4" borderId="58" xfId="0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2" fontId="7" fillId="12" borderId="13" xfId="2" applyNumberFormat="1" applyFont="1" applyFill="1" applyBorder="1" applyAlignment="1">
      <alignment vertical="center" wrapText="1"/>
    </xf>
    <xf numFmtId="2" fontId="7" fillId="12" borderId="15" xfId="2" applyNumberFormat="1" applyFont="1" applyFill="1" applyBorder="1" applyAlignment="1">
      <alignment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2" fontId="24" fillId="0" borderId="37" xfId="0" applyNumberFormat="1" applyFont="1" applyBorder="1" applyAlignment="1">
      <alignment horizontal="center" vertical="center" wrapText="1"/>
    </xf>
    <xf numFmtId="2" fontId="24" fillId="0" borderId="58" xfId="0" applyNumberFormat="1" applyFont="1" applyBorder="1" applyAlignment="1">
      <alignment horizontal="center" vertical="center" wrapText="1"/>
    </xf>
    <xf numFmtId="165" fontId="14" fillId="6" borderId="13" xfId="0" applyNumberFormat="1" applyFont="1" applyFill="1" applyBorder="1" applyAlignment="1">
      <alignment horizontal="center" vertical="center" wrapText="1"/>
    </xf>
    <xf numFmtId="165" fontId="14" fillId="6" borderId="15" xfId="0" applyNumberFormat="1" applyFont="1" applyFill="1" applyBorder="1" applyAlignment="1">
      <alignment horizontal="center" vertical="center" wrapText="1"/>
    </xf>
    <xf numFmtId="0" fontId="12" fillId="7" borderId="2" xfId="9" applyFont="1" applyFill="1" applyBorder="1" applyAlignment="1">
      <alignment horizontal="center" vertical="center" wrapText="1"/>
    </xf>
    <xf numFmtId="0" fontId="12" fillId="0" borderId="2" xfId="9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/>
    </xf>
    <xf numFmtId="0" fontId="28" fillId="2" borderId="6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9" applyFont="1" applyFill="1" applyBorder="1" applyAlignment="1">
      <alignment horizontal="center" vertical="center" wrapText="1"/>
    </xf>
    <xf numFmtId="0" fontId="12" fillId="0" borderId="4" xfId="9" applyFont="1" applyFill="1" applyBorder="1" applyAlignment="1">
      <alignment horizontal="center" vertical="center" wrapText="1"/>
    </xf>
    <xf numFmtId="0" fontId="12" fillId="0" borderId="23" xfId="9" applyFont="1" applyFill="1" applyBorder="1" applyAlignment="1">
      <alignment horizontal="center" vertical="center" wrapText="1"/>
    </xf>
    <xf numFmtId="0" fontId="12" fillId="0" borderId="5" xfId="9" applyFont="1" applyFill="1" applyBorder="1" applyAlignment="1">
      <alignment horizontal="center" vertical="center" wrapText="1"/>
    </xf>
    <xf numFmtId="0" fontId="12" fillId="0" borderId="11" xfId="9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12" fillId="0" borderId="12" xfId="9" applyFont="1" applyFill="1" applyBorder="1" applyAlignment="1">
      <alignment horizontal="center" vertical="center" wrapText="1"/>
    </xf>
    <xf numFmtId="0" fontId="12" fillId="6" borderId="2" xfId="9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2" fontId="7" fillId="0" borderId="13" xfId="2" applyNumberFormat="1" applyFont="1" applyFill="1" applyBorder="1" applyAlignment="1">
      <alignment horizontal="center" vertical="center" wrapText="1"/>
    </xf>
    <xf numFmtId="2" fontId="7" fillId="0" borderId="15" xfId="2" applyNumberFormat="1" applyFont="1" applyFill="1" applyBorder="1" applyAlignment="1">
      <alignment horizontal="center" vertical="center" wrapText="1"/>
    </xf>
    <xf numFmtId="2" fontId="24" fillId="0" borderId="13" xfId="0" applyNumberFormat="1" applyFont="1" applyFill="1" applyBorder="1" applyAlignment="1">
      <alignment horizontal="right" vertical="center" wrapText="1"/>
    </xf>
    <xf numFmtId="2" fontId="24" fillId="0" borderId="15" xfId="0" applyNumberFormat="1" applyFont="1" applyFill="1" applyBorder="1" applyAlignment="1">
      <alignment horizontal="right" vertical="center" wrapText="1"/>
    </xf>
    <xf numFmtId="14" fontId="24" fillId="0" borderId="13" xfId="0" applyNumberFormat="1" applyFont="1" applyFill="1" applyBorder="1" applyAlignment="1">
      <alignment horizontal="center" vertical="center" wrapText="1"/>
    </xf>
    <xf numFmtId="14" fontId="24" fillId="0" borderId="15" xfId="0" applyNumberFormat="1" applyFont="1" applyFill="1" applyBorder="1" applyAlignment="1">
      <alignment horizontal="center" vertical="center" wrapText="1"/>
    </xf>
    <xf numFmtId="168" fontId="7" fillId="0" borderId="13" xfId="0" applyNumberFormat="1" applyFont="1" applyBorder="1" applyAlignment="1">
      <alignment horizontal="right" vertical="center" wrapText="1"/>
    </xf>
    <xf numFmtId="168" fontId="7" fillId="0" borderId="15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2" fontId="17" fillId="12" borderId="13" xfId="2" applyNumberFormat="1" applyFont="1" applyFill="1" applyBorder="1" applyAlignment="1">
      <alignment horizontal="left" vertical="center" wrapText="1"/>
    </xf>
    <xf numFmtId="2" fontId="17" fillId="12" borderId="15" xfId="2" applyNumberFormat="1" applyFont="1" applyFill="1" applyBorder="1" applyAlignment="1">
      <alignment horizontal="left" vertical="center" wrapText="1"/>
    </xf>
    <xf numFmtId="0" fontId="12" fillId="0" borderId="3" xfId="9" applyFont="1" applyFill="1" applyBorder="1" applyAlignment="1">
      <alignment horizontal="center" vertical="center" wrapText="1"/>
    </xf>
    <xf numFmtId="0" fontId="12" fillId="0" borderId="7" xfId="9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2" fontId="7" fillId="12" borderId="13" xfId="2" applyNumberFormat="1" applyFont="1" applyFill="1" applyBorder="1" applyAlignment="1">
      <alignment horizontal="center" vertical="center" wrapText="1"/>
    </xf>
    <xf numFmtId="2" fontId="7" fillId="12" borderId="15" xfId="2" applyNumberFormat="1" applyFont="1" applyFill="1" applyBorder="1" applyAlignment="1">
      <alignment horizontal="center" vertical="center" wrapText="1"/>
    </xf>
    <xf numFmtId="2" fontId="24" fillId="12" borderId="13" xfId="0" applyNumberFormat="1" applyFont="1" applyFill="1" applyBorder="1" applyAlignment="1">
      <alignment horizontal="right" vertical="center" wrapText="1"/>
    </xf>
    <xf numFmtId="2" fontId="24" fillId="12" borderId="15" xfId="0" applyNumberFormat="1" applyFont="1" applyFill="1" applyBorder="1" applyAlignment="1">
      <alignment horizontal="right" vertical="center" wrapText="1"/>
    </xf>
    <xf numFmtId="14" fontId="24" fillId="12" borderId="13" xfId="0" applyNumberFormat="1" applyFont="1" applyFill="1" applyBorder="1" applyAlignment="1">
      <alignment horizontal="center" vertical="center" wrapText="1"/>
    </xf>
    <xf numFmtId="14" fontId="24" fillId="12" borderId="15" xfId="0" applyNumberFormat="1" applyFont="1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12" borderId="13" xfId="0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2" fontId="17" fillId="0" borderId="13" xfId="2" applyNumberFormat="1" applyFont="1" applyFill="1" applyBorder="1" applyAlignment="1">
      <alignment horizontal="left" vertical="center" wrapText="1"/>
    </xf>
    <xf numFmtId="2" fontId="17" fillId="0" borderId="15" xfId="2" applyNumberFormat="1" applyFont="1" applyFill="1" applyBorder="1" applyAlignment="1">
      <alignment horizontal="left" vertical="center" wrapText="1"/>
    </xf>
    <xf numFmtId="0" fontId="12" fillId="12" borderId="13" xfId="0" applyFont="1" applyFill="1" applyBorder="1" applyAlignment="1">
      <alignment horizontal="left" wrapText="1"/>
    </xf>
    <xf numFmtId="0" fontId="12" fillId="12" borderId="15" xfId="0" applyFont="1" applyFill="1" applyBorder="1" applyAlignment="1">
      <alignment horizontal="left" wrapText="1"/>
    </xf>
    <xf numFmtId="169" fontId="12" fillId="0" borderId="13" xfId="0" applyNumberFormat="1" applyFont="1" applyFill="1" applyBorder="1" applyAlignment="1">
      <alignment horizontal="right" vertical="center"/>
    </xf>
    <xf numFmtId="169" fontId="12" fillId="0" borderId="15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168" fontId="7" fillId="0" borderId="13" xfId="0" applyNumberFormat="1" applyFont="1" applyFill="1" applyBorder="1" applyAlignment="1">
      <alignment horizontal="right" vertical="center" wrapText="1"/>
    </xf>
    <xf numFmtId="168" fontId="7" fillId="0" borderId="15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/>
    </xf>
    <xf numFmtId="165" fontId="24" fillId="0" borderId="15" xfId="0" applyNumberFormat="1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12" fillId="12" borderId="15" xfId="0" applyFont="1" applyFill="1" applyBorder="1" applyAlignment="1">
      <alignment horizontal="left" vertical="center" wrapText="1"/>
    </xf>
    <xf numFmtId="14" fontId="24" fillId="0" borderId="13" xfId="0" applyNumberFormat="1" applyFont="1" applyFill="1" applyBorder="1" applyAlignment="1">
      <alignment horizontal="left" vertical="center" wrapText="1"/>
    </xf>
    <xf numFmtId="14" fontId="24" fillId="0" borderId="15" xfId="0" applyNumberFormat="1" applyFont="1" applyFill="1" applyBorder="1" applyAlignment="1">
      <alignment horizontal="left" vertical="center" wrapText="1"/>
    </xf>
    <xf numFmtId="2" fontId="24" fillId="0" borderId="13" xfId="0" applyNumberFormat="1" applyFont="1" applyBorder="1" applyAlignment="1">
      <alignment horizontal="right" vertical="center" wrapText="1"/>
    </xf>
    <xf numFmtId="2" fontId="24" fillId="0" borderId="15" xfId="0" applyNumberFormat="1" applyFont="1" applyBorder="1" applyAlignment="1">
      <alignment horizontal="right" vertical="center" wrapText="1"/>
    </xf>
    <xf numFmtId="2" fontId="24" fillId="12" borderId="13" xfId="0" applyNumberFormat="1" applyFont="1" applyFill="1" applyBorder="1" applyAlignment="1">
      <alignment horizontal="center" vertical="center" wrapText="1"/>
    </xf>
    <xf numFmtId="2" fontId="24" fillId="12" borderId="15" xfId="0" applyNumberFormat="1" applyFont="1" applyFill="1" applyBorder="1" applyAlignment="1">
      <alignment horizontal="center" vertical="center" wrapText="1"/>
    </xf>
    <xf numFmtId="165" fontId="24" fillId="12" borderId="13" xfId="0" applyNumberFormat="1" applyFont="1" applyFill="1" applyBorder="1" applyAlignment="1">
      <alignment horizontal="right" vertical="center" wrapText="1"/>
    </xf>
    <xf numFmtId="165" fontId="24" fillId="12" borderId="15" xfId="0" applyNumberFormat="1" applyFont="1" applyFill="1" applyBorder="1" applyAlignment="1">
      <alignment horizontal="right" vertical="center" wrapText="1"/>
    </xf>
    <xf numFmtId="14" fontId="24" fillId="12" borderId="13" xfId="0" applyNumberFormat="1" applyFont="1" applyFill="1" applyBorder="1" applyAlignment="1">
      <alignment horizontal="left" vertical="center" wrapText="1"/>
    </xf>
    <xf numFmtId="14" fontId="24" fillId="12" borderId="15" xfId="0" applyNumberFormat="1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right" vertical="center" wrapText="1"/>
    </xf>
    <xf numFmtId="0" fontId="24" fillId="0" borderId="15" xfId="0" applyFont="1" applyBorder="1" applyAlignment="1">
      <alignment horizontal="right" vertical="center" wrapText="1"/>
    </xf>
    <xf numFmtId="2" fontId="24" fillId="0" borderId="13" xfId="0" applyNumberFormat="1" applyFont="1" applyFill="1" applyBorder="1" applyAlignment="1">
      <alignment horizontal="center" vertical="center" wrapText="1"/>
    </xf>
    <xf numFmtId="2" fontId="24" fillId="0" borderId="15" xfId="0" applyNumberFormat="1" applyFont="1" applyFill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right" vertical="center" wrapText="1"/>
    </xf>
    <xf numFmtId="165" fontId="24" fillId="0" borderId="15" xfId="0" applyNumberFormat="1" applyFont="1" applyFill="1" applyBorder="1" applyAlignment="1">
      <alignment horizontal="right" vertical="center" wrapText="1"/>
    </xf>
    <xf numFmtId="170" fontId="24" fillId="12" borderId="13" xfId="0" applyNumberFormat="1" applyFont="1" applyFill="1" applyBorder="1" applyAlignment="1">
      <alignment horizontal="right" vertical="center" wrapText="1"/>
    </xf>
    <xf numFmtId="170" fontId="24" fillId="12" borderId="15" xfId="0" applyNumberFormat="1" applyFont="1" applyFill="1" applyBorder="1" applyAlignment="1">
      <alignment horizontal="right" vertical="center" wrapText="1"/>
    </xf>
    <xf numFmtId="0" fontId="24" fillId="12" borderId="13" xfId="0" applyFont="1" applyFill="1" applyBorder="1" applyAlignment="1">
      <alignment horizontal="right" vertical="center" wrapText="1"/>
    </xf>
    <xf numFmtId="0" fontId="24" fillId="12" borderId="15" xfId="0" applyFont="1" applyFill="1" applyBorder="1" applyAlignment="1">
      <alignment horizontal="right" vertical="center" wrapText="1"/>
    </xf>
    <xf numFmtId="4" fontId="24" fillId="12" borderId="13" xfId="0" applyNumberFormat="1" applyFont="1" applyFill="1" applyBorder="1" applyAlignment="1">
      <alignment horizontal="right" vertical="center" wrapText="1"/>
    </xf>
    <xf numFmtId="4" fontId="24" fillId="12" borderId="15" xfId="0" applyNumberFormat="1" applyFont="1" applyFill="1" applyBorder="1" applyAlignment="1">
      <alignment horizontal="right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2" fontId="24" fillId="0" borderId="1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2" fontId="7" fillId="12" borderId="13" xfId="2" applyNumberFormat="1" applyFont="1" applyFill="1" applyBorder="1" applyAlignment="1">
      <alignment horizontal="left" vertical="center" wrapText="1"/>
    </xf>
    <xf numFmtId="2" fontId="7" fillId="12" borderId="15" xfId="2" applyNumberFormat="1" applyFont="1" applyFill="1" applyBorder="1" applyAlignment="1">
      <alignment horizontal="left" vertical="center" wrapText="1"/>
    </xf>
    <xf numFmtId="2" fontId="15" fillId="12" borderId="13" xfId="0" applyNumberFormat="1" applyFont="1" applyFill="1" applyBorder="1" applyAlignment="1">
      <alignment horizontal="center" vertical="center" wrapText="1"/>
    </xf>
    <xf numFmtId="2" fontId="15" fillId="12" borderId="15" xfId="0" applyNumberFormat="1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/>
    </xf>
    <xf numFmtId="0" fontId="11" fillId="12" borderId="15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left" vertical="center"/>
    </xf>
    <xf numFmtId="0" fontId="11" fillId="12" borderId="15" xfId="0" applyFont="1" applyFill="1" applyBorder="1" applyAlignment="1">
      <alignment horizontal="left" vertical="center"/>
    </xf>
    <xf numFmtId="0" fontId="24" fillId="12" borderId="24" xfId="0" applyFont="1" applyFill="1" applyBorder="1" applyAlignment="1">
      <alignment horizontal="center" vertical="center" wrapText="1"/>
    </xf>
    <xf numFmtId="2" fontId="9" fillId="12" borderId="13" xfId="2" applyNumberFormat="1" applyFont="1" applyFill="1" applyBorder="1" applyAlignment="1">
      <alignment horizontal="left" vertical="center" wrapText="1"/>
    </xf>
    <xf numFmtId="2" fontId="9" fillId="12" borderId="15" xfId="2" applyNumberFormat="1" applyFont="1" applyFill="1" applyBorder="1" applyAlignment="1">
      <alignment horizontal="left" vertical="center" wrapText="1"/>
    </xf>
    <xf numFmtId="0" fontId="11" fillId="12" borderId="13" xfId="0" applyFont="1" applyFill="1" applyBorder="1" applyAlignment="1">
      <alignment horizontal="left" vertical="center" wrapText="1"/>
    </xf>
    <xf numFmtId="0" fontId="11" fillId="12" borderId="15" xfId="0" applyFont="1" applyFill="1" applyBorder="1" applyAlignment="1">
      <alignment horizontal="left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2" fontId="15" fillId="0" borderId="15" xfId="0" applyNumberFormat="1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14" fillId="11" borderId="3" xfId="0" applyFont="1" applyFill="1" applyBorder="1" applyAlignment="1">
      <alignment horizontal="left" vertical="center" wrapText="1"/>
    </xf>
    <xf numFmtId="0" fontId="14" fillId="11" borderId="6" xfId="0" applyFont="1" applyFill="1" applyBorder="1" applyAlignment="1">
      <alignment horizontal="left" vertical="center" wrapText="1"/>
    </xf>
    <xf numFmtId="0" fontId="14" fillId="11" borderId="7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/>
    </xf>
    <xf numFmtId="2" fontId="7" fillId="0" borderId="13" xfId="2" applyNumberFormat="1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left" vertical="center" wrapText="1"/>
    </xf>
    <xf numFmtId="0" fontId="21" fillId="9" borderId="6" xfId="0" applyFont="1" applyFill="1" applyBorder="1" applyAlignment="1">
      <alignment horizontal="left" vertical="center" wrapText="1"/>
    </xf>
    <xf numFmtId="0" fontId="21" fillId="9" borderId="7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left" vertical="top"/>
    </xf>
    <xf numFmtId="0" fontId="6" fillId="10" borderId="6" xfId="0" applyFont="1" applyFill="1" applyBorder="1" applyAlignment="1">
      <alignment horizontal="left" vertical="top"/>
    </xf>
    <xf numFmtId="0" fontId="6" fillId="10" borderId="7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44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0" fontId="31" fillId="2" borderId="53" xfId="0" applyFont="1" applyFill="1" applyBorder="1" applyAlignment="1">
      <alignment horizontal="center" vertical="center" wrapText="1"/>
    </xf>
    <xf numFmtId="0" fontId="31" fillId="2" borderId="54" xfId="0" applyFont="1" applyFill="1" applyBorder="1" applyAlignment="1">
      <alignment horizontal="center" vertical="center" wrapText="1"/>
    </xf>
    <xf numFmtId="0" fontId="31" fillId="2" borderId="55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31" fillId="2" borderId="33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31" fillId="2" borderId="21" xfId="1" applyFont="1" applyFill="1" applyBorder="1" applyAlignment="1">
      <alignment horizontal="center" vertical="center" wrapText="1"/>
    </xf>
    <xf numFmtId="0" fontId="31" fillId="2" borderId="32" xfId="1" applyFont="1" applyFill="1" applyBorder="1" applyAlignment="1">
      <alignment horizontal="center" vertical="center" wrapText="1"/>
    </xf>
    <xf numFmtId="0" fontId="31" fillId="2" borderId="24" xfId="1" applyFont="1" applyFill="1" applyBorder="1" applyAlignment="1">
      <alignment horizontal="center" vertical="center" wrapText="1"/>
    </xf>
    <xf numFmtId="0" fontId="31" fillId="2" borderId="41" xfId="1" applyFont="1" applyFill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31" fillId="0" borderId="32" xfId="1" applyFont="1" applyFill="1" applyBorder="1" applyAlignment="1">
      <alignment horizontal="center" vertical="center" wrapText="1"/>
    </xf>
    <xf numFmtId="0" fontId="31" fillId="0" borderId="24" xfId="1" applyFont="1" applyFill="1" applyBorder="1" applyAlignment="1">
      <alignment horizontal="center" vertical="center" wrapText="1"/>
    </xf>
    <xf numFmtId="0" fontId="31" fillId="0" borderId="41" xfId="1" applyFont="1" applyFill="1" applyBorder="1" applyAlignment="1">
      <alignment horizontal="center" vertical="center" wrapText="1"/>
    </xf>
    <xf numFmtId="0" fontId="31" fillId="0" borderId="37" xfId="1" applyFont="1" applyFill="1" applyBorder="1" applyAlignment="1">
      <alignment horizontal="center" vertical="center" wrapText="1"/>
    </xf>
    <xf numFmtId="0" fontId="31" fillId="0" borderId="42" xfId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6" fillId="0" borderId="50" xfId="0" applyFont="1" applyBorder="1" applyAlignment="1">
      <alignment horizontal="center" wrapText="1"/>
    </xf>
    <xf numFmtId="0" fontId="6" fillId="0" borderId="51" xfId="0" applyFont="1" applyBorder="1" applyAlignment="1">
      <alignment horizontal="center" wrapText="1"/>
    </xf>
    <xf numFmtId="0" fontId="6" fillId="0" borderId="52" xfId="0" applyFont="1" applyBorder="1" applyAlignment="1">
      <alignment horizontal="center" wrapText="1"/>
    </xf>
    <xf numFmtId="0" fontId="30" fillId="0" borderId="27" xfId="0" applyFont="1" applyBorder="1" applyAlignment="1">
      <alignment horizontal="center" wrapText="1"/>
    </xf>
    <xf numFmtId="0" fontId="30" fillId="0" borderId="28" xfId="0" applyFont="1" applyBorder="1" applyAlignment="1">
      <alignment horizontal="center" wrapText="1"/>
    </xf>
    <xf numFmtId="0" fontId="30" fillId="0" borderId="44" xfId="0" applyFont="1" applyBorder="1" applyAlignment="1">
      <alignment horizontal="center" wrapText="1"/>
    </xf>
    <xf numFmtId="0" fontId="7" fillId="0" borderId="4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7" fillId="0" borderId="13" xfId="0" applyFont="1" applyBorder="1" applyAlignment="1">
      <alignment horizontal="right" vertical="top"/>
    </xf>
    <xf numFmtId="0" fontId="7" fillId="0" borderId="15" xfId="0" applyFont="1" applyBorder="1" applyAlignment="1">
      <alignment horizontal="right" vertical="top"/>
    </xf>
    <xf numFmtId="0" fontId="7" fillId="0" borderId="1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39" xfId="0" applyFont="1" applyFill="1" applyBorder="1" applyAlignment="1">
      <alignment horizontal="center" vertical="center"/>
    </xf>
    <xf numFmtId="0" fontId="31" fillId="2" borderId="33" xfId="8" applyFont="1" applyFill="1" applyBorder="1" applyAlignment="1">
      <alignment horizontal="center" vertical="center" wrapText="1"/>
    </xf>
    <xf numFmtId="0" fontId="31" fillId="2" borderId="2" xfId="8" applyFont="1" applyFill="1" applyBorder="1" applyAlignment="1">
      <alignment horizontal="center" vertical="center" wrapText="1"/>
    </xf>
    <xf numFmtId="0" fontId="31" fillId="2" borderId="21" xfId="8" applyFont="1" applyFill="1" applyBorder="1" applyAlignment="1">
      <alignment horizontal="center" vertical="center" wrapText="1"/>
    </xf>
    <xf numFmtId="0" fontId="31" fillId="0" borderId="32" xfId="8" applyFont="1" applyFill="1" applyBorder="1" applyAlignment="1">
      <alignment horizontal="center" vertical="center" wrapText="1"/>
    </xf>
    <xf numFmtId="0" fontId="31" fillId="0" borderId="24" xfId="8" applyFont="1" applyFill="1" applyBorder="1" applyAlignment="1">
      <alignment horizontal="center" vertical="center" wrapText="1"/>
    </xf>
    <xf numFmtId="0" fontId="31" fillId="0" borderId="41" xfId="8" applyFont="1" applyFill="1" applyBorder="1" applyAlignment="1">
      <alignment horizontal="center" vertical="center" wrapText="1"/>
    </xf>
    <xf numFmtId="0" fontId="31" fillId="0" borderId="2" xfId="8" applyFont="1" applyFill="1" applyBorder="1" applyAlignment="1">
      <alignment horizontal="center" vertical="center" wrapText="1"/>
    </xf>
    <xf numFmtId="0" fontId="31" fillId="0" borderId="37" xfId="8" applyFont="1" applyFill="1" applyBorder="1" applyAlignment="1">
      <alignment horizontal="center" vertical="center" wrapText="1"/>
    </xf>
    <xf numFmtId="0" fontId="31" fillId="0" borderId="42" xfId="8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3"/>
    <cellStyle name="Обычный 3" xfId="1"/>
    <cellStyle name="Обычный 3 2" xfId="5"/>
    <cellStyle name="Обычный 3 3" xfId="6"/>
    <cellStyle name="Обычный 3 3 2" xfId="7"/>
    <cellStyle name="Обычный 3 3 3" xfId="9"/>
    <cellStyle name="Обычный 3 4" xfId="8"/>
    <cellStyle name="Обычный 4" xfId="4"/>
    <cellStyle name="Обычный_Прил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G138"/>
  <sheetViews>
    <sheetView view="pageBreakPreview" zoomScale="55" zoomScaleNormal="55" zoomScaleSheetLayoutView="55" zoomScalePageLayoutView="55" workbookViewId="0">
      <pane xSplit="6" ySplit="5" topLeftCell="G6" activePane="bottomRight" state="frozen"/>
      <selection activeCell="D19" sqref="D19:D20"/>
      <selection pane="topRight" activeCell="D19" sqref="D19:D20"/>
      <selection pane="bottomLeft" activeCell="D19" sqref="D19:D20"/>
      <selection pane="bottomRight" activeCell="G27" sqref="G27:G28"/>
    </sheetView>
  </sheetViews>
  <sheetFormatPr defaultColWidth="11.42578125" defaultRowHeight="15" x14ac:dyDescent="0.25"/>
  <cols>
    <col min="1" max="1" width="4.28515625" style="1" customWidth="1"/>
    <col min="2" max="2" width="13" style="1" bestFit="1" customWidth="1"/>
    <col min="3" max="3" width="48.140625" style="1" bestFit="1" customWidth="1"/>
    <col min="4" max="4" width="18.85546875" style="1" customWidth="1"/>
    <col min="5" max="5" width="13.42578125" style="54" customWidth="1"/>
    <col min="6" max="6" width="12" style="54" customWidth="1"/>
    <col min="7" max="8" width="9.42578125" style="54" customWidth="1"/>
    <col min="9" max="9" width="23.28515625" style="54" customWidth="1"/>
    <col min="10" max="10" width="11.140625" style="54" customWidth="1"/>
    <col min="11" max="11" width="10.42578125" style="54" customWidth="1"/>
    <col min="12" max="13" width="11.7109375" style="54" customWidth="1"/>
    <col min="14" max="14" width="12.28515625" style="54" customWidth="1"/>
    <col min="15" max="15" width="23.42578125" style="54" customWidth="1"/>
    <col min="16" max="16" width="10.42578125" style="54" customWidth="1"/>
    <col min="17" max="17" width="11.7109375" style="54" customWidth="1"/>
    <col min="18" max="18" width="13.28515625" style="54" customWidth="1"/>
    <col min="19" max="19" width="11.7109375" style="54" customWidth="1"/>
    <col min="20" max="20" width="12.28515625" style="54" customWidth="1"/>
    <col min="21" max="21" width="23.28515625" style="1" customWidth="1"/>
    <col min="22" max="23" width="11.42578125" style="1" customWidth="1"/>
    <col min="24" max="24" width="13.28515625" style="1" customWidth="1"/>
    <col min="25" max="26" width="11.42578125" style="1" customWidth="1"/>
    <col min="27" max="27" width="24.7109375" style="1" customWidth="1"/>
    <col min="28" max="28" width="10.42578125" style="1" customWidth="1"/>
    <col min="29" max="29" width="11.42578125" style="1" customWidth="1"/>
    <col min="30" max="30" width="13.28515625" style="1" customWidth="1"/>
    <col min="31" max="32" width="11.42578125" style="1" customWidth="1"/>
    <col min="33" max="33" width="24" style="1" customWidth="1"/>
    <col min="34" max="34" width="11.42578125" style="1" customWidth="1"/>
    <col min="35" max="35" width="10.7109375" style="1" customWidth="1"/>
    <col min="36" max="36" width="13.28515625" style="1" customWidth="1"/>
    <col min="37" max="38" width="11.42578125" style="1" customWidth="1"/>
    <col min="39" max="39" width="22.28515625" style="1" customWidth="1"/>
    <col min="40" max="41" width="11.42578125" style="1" customWidth="1"/>
    <col min="42" max="42" width="15" style="1" customWidth="1"/>
    <col min="43" max="43" width="16.42578125" style="1" customWidth="1"/>
    <col min="44" max="44" width="21.7109375" style="1" customWidth="1"/>
    <col min="45" max="45" width="14.28515625" style="1" bestFit="1" customWidth="1"/>
    <col min="46" max="46" width="13.140625" style="1" bestFit="1" customWidth="1"/>
    <col min="47" max="16384" width="11.42578125" style="1"/>
  </cols>
  <sheetData>
    <row r="1" spans="1:46" ht="25.5" customHeight="1" x14ac:dyDescent="0.25">
      <c r="A1" s="402" t="s">
        <v>127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69"/>
      <c r="AR1" s="69"/>
      <c r="AS1" s="69"/>
      <c r="AT1" s="69"/>
    </row>
    <row r="2" spans="1:46" x14ac:dyDescent="0.25">
      <c r="A2" s="403" t="s">
        <v>0</v>
      </c>
      <c r="B2" s="404" t="s">
        <v>25</v>
      </c>
      <c r="C2" s="407" t="s">
        <v>73</v>
      </c>
      <c r="D2" s="408" t="s">
        <v>26</v>
      </c>
      <c r="E2" s="411" t="s">
        <v>75</v>
      </c>
      <c r="F2" s="411"/>
      <c r="G2" s="411" t="s">
        <v>27</v>
      </c>
      <c r="H2" s="411"/>
      <c r="I2" s="411"/>
      <c r="J2" s="411"/>
      <c r="K2" s="411"/>
      <c r="L2" s="411"/>
      <c r="M2" s="411" t="s">
        <v>36</v>
      </c>
      <c r="N2" s="411"/>
      <c r="O2" s="411"/>
      <c r="P2" s="411"/>
      <c r="Q2" s="411"/>
      <c r="R2" s="411"/>
      <c r="S2" s="411" t="s">
        <v>37</v>
      </c>
      <c r="T2" s="411"/>
      <c r="U2" s="411"/>
      <c r="V2" s="411"/>
      <c r="W2" s="411"/>
      <c r="X2" s="411"/>
      <c r="Y2" s="411" t="s">
        <v>38</v>
      </c>
      <c r="Z2" s="411"/>
      <c r="AA2" s="411"/>
      <c r="AB2" s="411"/>
      <c r="AC2" s="411"/>
      <c r="AD2" s="411"/>
      <c r="AE2" s="411" t="s">
        <v>39</v>
      </c>
      <c r="AF2" s="411"/>
      <c r="AG2" s="411"/>
      <c r="AH2" s="411"/>
      <c r="AI2" s="411"/>
      <c r="AJ2" s="411"/>
      <c r="AK2" s="411" t="s">
        <v>40</v>
      </c>
      <c r="AL2" s="411"/>
      <c r="AM2" s="411"/>
      <c r="AN2" s="411"/>
      <c r="AO2" s="411"/>
      <c r="AP2" s="412"/>
      <c r="AQ2" s="413" t="s">
        <v>50</v>
      </c>
    </row>
    <row r="3" spans="1:46" x14ac:dyDescent="0.25">
      <c r="A3" s="403"/>
      <c r="B3" s="405"/>
      <c r="C3" s="407"/>
      <c r="D3" s="409"/>
      <c r="E3" s="411"/>
      <c r="F3" s="411"/>
      <c r="G3" s="411" t="s">
        <v>28</v>
      </c>
      <c r="H3" s="411"/>
      <c r="I3" s="411" t="s">
        <v>29</v>
      </c>
      <c r="J3" s="411" t="s">
        <v>30</v>
      </c>
      <c r="K3" s="411"/>
      <c r="L3" s="333" t="s">
        <v>4</v>
      </c>
      <c r="M3" s="411" t="s">
        <v>28</v>
      </c>
      <c r="N3" s="411"/>
      <c r="O3" s="411" t="s">
        <v>29</v>
      </c>
      <c r="P3" s="411" t="s">
        <v>30</v>
      </c>
      <c r="Q3" s="411"/>
      <c r="R3" s="334" t="s">
        <v>4</v>
      </c>
      <c r="S3" s="411" t="s">
        <v>28</v>
      </c>
      <c r="T3" s="411"/>
      <c r="U3" s="411" t="s">
        <v>29</v>
      </c>
      <c r="V3" s="411" t="s">
        <v>30</v>
      </c>
      <c r="W3" s="411"/>
      <c r="X3" s="334" t="s">
        <v>4</v>
      </c>
      <c r="Y3" s="411" t="s">
        <v>28</v>
      </c>
      <c r="Z3" s="411"/>
      <c r="AA3" s="411" t="s">
        <v>29</v>
      </c>
      <c r="AB3" s="411" t="s">
        <v>30</v>
      </c>
      <c r="AC3" s="411"/>
      <c r="AD3" s="334" t="s">
        <v>4</v>
      </c>
      <c r="AE3" s="411" t="s">
        <v>28</v>
      </c>
      <c r="AF3" s="411"/>
      <c r="AG3" s="411" t="s">
        <v>29</v>
      </c>
      <c r="AH3" s="411" t="s">
        <v>30</v>
      </c>
      <c r="AI3" s="411"/>
      <c r="AJ3" s="334" t="s">
        <v>4</v>
      </c>
      <c r="AK3" s="411" t="s">
        <v>28</v>
      </c>
      <c r="AL3" s="411"/>
      <c r="AM3" s="411" t="s">
        <v>29</v>
      </c>
      <c r="AN3" s="411" t="s">
        <v>30</v>
      </c>
      <c r="AO3" s="411"/>
      <c r="AP3" s="334" t="s">
        <v>4</v>
      </c>
      <c r="AQ3" s="413"/>
    </row>
    <row r="4" spans="1:46" ht="30" x14ac:dyDescent="0.25">
      <c r="A4" s="403"/>
      <c r="B4" s="406"/>
      <c r="C4" s="407"/>
      <c r="D4" s="410"/>
      <c r="E4" s="333" t="s">
        <v>5</v>
      </c>
      <c r="F4" s="333" t="s">
        <v>6</v>
      </c>
      <c r="G4" s="333" t="s">
        <v>33</v>
      </c>
      <c r="H4" s="333" t="s">
        <v>34</v>
      </c>
      <c r="I4" s="411"/>
      <c r="J4" s="333" t="s">
        <v>31</v>
      </c>
      <c r="K4" s="333" t="s">
        <v>32</v>
      </c>
      <c r="L4" s="333" t="s">
        <v>35</v>
      </c>
      <c r="M4" s="333" t="s">
        <v>33</v>
      </c>
      <c r="N4" s="333" t="s">
        <v>34</v>
      </c>
      <c r="O4" s="411"/>
      <c r="P4" s="333" t="s">
        <v>31</v>
      </c>
      <c r="Q4" s="333" t="s">
        <v>32</v>
      </c>
      <c r="R4" s="333" t="s">
        <v>35</v>
      </c>
      <c r="S4" s="333" t="s">
        <v>33</v>
      </c>
      <c r="T4" s="333" t="s">
        <v>34</v>
      </c>
      <c r="U4" s="411"/>
      <c r="V4" s="333" t="s">
        <v>31</v>
      </c>
      <c r="W4" s="333" t="s">
        <v>32</v>
      </c>
      <c r="X4" s="333" t="s">
        <v>35</v>
      </c>
      <c r="Y4" s="333" t="s">
        <v>33</v>
      </c>
      <c r="Z4" s="333" t="s">
        <v>34</v>
      </c>
      <c r="AA4" s="411"/>
      <c r="AB4" s="333" t="s">
        <v>31</v>
      </c>
      <c r="AC4" s="333" t="s">
        <v>32</v>
      </c>
      <c r="AD4" s="333" t="s">
        <v>35</v>
      </c>
      <c r="AE4" s="333" t="s">
        <v>33</v>
      </c>
      <c r="AF4" s="333" t="s">
        <v>34</v>
      </c>
      <c r="AG4" s="411"/>
      <c r="AH4" s="333" t="s">
        <v>31</v>
      </c>
      <c r="AI4" s="333" t="s">
        <v>32</v>
      </c>
      <c r="AJ4" s="333" t="s">
        <v>35</v>
      </c>
      <c r="AK4" s="333" t="s">
        <v>33</v>
      </c>
      <c r="AL4" s="333" t="s">
        <v>34</v>
      </c>
      <c r="AM4" s="411"/>
      <c r="AN4" s="333" t="s">
        <v>31</v>
      </c>
      <c r="AO4" s="333" t="s">
        <v>32</v>
      </c>
      <c r="AP4" s="334" t="s">
        <v>35</v>
      </c>
      <c r="AQ4" s="413"/>
    </row>
    <row r="5" spans="1:46" s="54" customFormat="1" x14ac:dyDescent="0.25">
      <c r="A5" s="97">
        <v>1</v>
      </c>
      <c r="B5" s="97">
        <v>2</v>
      </c>
      <c r="C5" s="98">
        <v>3</v>
      </c>
      <c r="D5" s="97">
        <v>4</v>
      </c>
      <c r="E5" s="97">
        <v>5</v>
      </c>
      <c r="F5" s="98">
        <v>6</v>
      </c>
      <c r="G5" s="97">
        <v>7</v>
      </c>
      <c r="H5" s="97">
        <v>8</v>
      </c>
      <c r="I5" s="98">
        <v>9</v>
      </c>
      <c r="J5" s="97">
        <v>10</v>
      </c>
      <c r="K5" s="97">
        <v>11</v>
      </c>
      <c r="L5" s="98">
        <v>12</v>
      </c>
      <c r="M5" s="97">
        <v>13</v>
      </c>
      <c r="N5" s="97">
        <v>14</v>
      </c>
      <c r="O5" s="98">
        <v>15</v>
      </c>
      <c r="P5" s="97">
        <v>16</v>
      </c>
      <c r="Q5" s="97">
        <v>17</v>
      </c>
      <c r="R5" s="98">
        <v>18</v>
      </c>
      <c r="S5" s="97">
        <v>19</v>
      </c>
      <c r="T5" s="97">
        <v>20</v>
      </c>
      <c r="U5" s="98">
        <v>21</v>
      </c>
      <c r="V5" s="97">
        <v>22</v>
      </c>
      <c r="W5" s="97">
        <v>23</v>
      </c>
      <c r="X5" s="98">
        <v>24</v>
      </c>
      <c r="Y5" s="97">
        <v>25</v>
      </c>
      <c r="Z5" s="97">
        <v>26</v>
      </c>
      <c r="AA5" s="98">
        <v>27</v>
      </c>
      <c r="AB5" s="97">
        <v>28</v>
      </c>
      <c r="AC5" s="97">
        <v>29</v>
      </c>
      <c r="AD5" s="98">
        <v>30</v>
      </c>
      <c r="AE5" s="97">
        <v>31</v>
      </c>
      <c r="AF5" s="97">
        <v>32</v>
      </c>
      <c r="AG5" s="98">
        <v>33</v>
      </c>
      <c r="AH5" s="97">
        <v>34</v>
      </c>
      <c r="AI5" s="97">
        <v>35</v>
      </c>
      <c r="AJ5" s="98">
        <v>36</v>
      </c>
      <c r="AK5" s="97">
        <v>37</v>
      </c>
      <c r="AL5" s="97">
        <v>38</v>
      </c>
      <c r="AM5" s="98">
        <v>39</v>
      </c>
      <c r="AN5" s="97">
        <v>40</v>
      </c>
      <c r="AO5" s="97">
        <v>41</v>
      </c>
      <c r="AP5" s="98">
        <v>42</v>
      </c>
      <c r="AQ5" s="97">
        <v>43</v>
      </c>
    </row>
    <row r="6" spans="1:46" x14ac:dyDescent="0.25">
      <c r="A6" s="4" t="s">
        <v>9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89"/>
      <c r="AQ6" s="89"/>
    </row>
    <row r="7" spans="1:46" s="209" customFormat="1" ht="15" customHeight="1" x14ac:dyDescent="0.25">
      <c r="A7" s="420">
        <v>1</v>
      </c>
      <c r="B7" s="422">
        <v>1948114</v>
      </c>
      <c r="C7" s="430" t="s">
        <v>128</v>
      </c>
      <c r="D7" s="430" t="s">
        <v>129</v>
      </c>
      <c r="E7" s="428">
        <v>236.714</v>
      </c>
      <c r="F7" s="428">
        <f>E7*7500</f>
        <v>1775355</v>
      </c>
      <c r="G7" s="414" t="s">
        <v>130</v>
      </c>
      <c r="H7" s="414" t="s">
        <v>131</v>
      </c>
      <c r="I7" s="416" t="s">
        <v>11</v>
      </c>
      <c r="J7" s="162">
        <v>4.3719999999999999</v>
      </c>
      <c r="K7" s="139" t="s">
        <v>5</v>
      </c>
      <c r="L7" s="418">
        <v>45000</v>
      </c>
      <c r="M7" s="335"/>
      <c r="N7" s="335"/>
      <c r="O7" s="335"/>
      <c r="P7" s="335"/>
      <c r="Q7" s="335"/>
      <c r="R7" s="216"/>
      <c r="S7" s="414" t="s">
        <v>131</v>
      </c>
      <c r="T7" s="414" t="s">
        <v>651</v>
      </c>
      <c r="U7" s="416" t="s">
        <v>11</v>
      </c>
      <c r="V7" s="162">
        <v>2.66</v>
      </c>
      <c r="W7" s="139" t="s">
        <v>5</v>
      </c>
      <c r="X7" s="418">
        <v>20000</v>
      </c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338"/>
      <c r="AQ7" s="217"/>
      <c r="AR7" s="209">
        <f>J7+P7+V7+AB7+AH7+AN7</f>
        <v>7.032</v>
      </c>
    </row>
    <row r="8" spans="1:46" s="209" customFormat="1" x14ac:dyDescent="0.25">
      <c r="A8" s="421"/>
      <c r="B8" s="423"/>
      <c r="C8" s="431"/>
      <c r="D8" s="431"/>
      <c r="E8" s="429"/>
      <c r="F8" s="429"/>
      <c r="G8" s="415"/>
      <c r="H8" s="415"/>
      <c r="I8" s="417"/>
      <c r="J8" s="162">
        <f>J7*7500</f>
        <v>32790</v>
      </c>
      <c r="K8" s="139" t="s">
        <v>8</v>
      </c>
      <c r="L8" s="419"/>
      <c r="M8" s="204"/>
      <c r="N8" s="204"/>
      <c r="O8" s="204"/>
      <c r="P8" s="204"/>
      <c r="Q8" s="204"/>
      <c r="R8" s="338"/>
      <c r="S8" s="415"/>
      <c r="T8" s="415"/>
      <c r="U8" s="417"/>
      <c r="V8" s="162">
        <f>V7*7500</f>
        <v>19950</v>
      </c>
      <c r="W8" s="139" t="s">
        <v>8</v>
      </c>
      <c r="X8" s="419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338"/>
      <c r="AQ8" s="217"/>
      <c r="AR8" s="1"/>
    </row>
    <row r="9" spans="1:46" s="209" customFormat="1" ht="15" customHeight="1" x14ac:dyDescent="0.25">
      <c r="A9" s="420">
        <v>2</v>
      </c>
      <c r="B9" s="422">
        <v>1948183</v>
      </c>
      <c r="C9" s="424" t="s">
        <v>132</v>
      </c>
      <c r="D9" s="424" t="s">
        <v>133</v>
      </c>
      <c r="E9" s="426">
        <v>71.245999999999995</v>
      </c>
      <c r="F9" s="428">
        <f t="shared" ref="F9:F13" si="0">E9*7500</f>
        <v>534345</v>
      </c>
      <c r="G9" s="414" t="s">
        <v>134</v>
      </c>
      <c r="H9" s="414" t="s">
        <v>135</v>
      </c>
      <c r="I9" s="416" t="s">
        <v>11</v>
      </c>
      <c r="J9" s="162">
        <v>2.718</v>
      </c>
      <c r="K9" s="139" t="s">
        <v>5</v>
      </c>
      <c r="L9" s="418">
        <v>30000</v>
      </c>
      <c r="M9" s="204"/>
      <c r="N9" s="204"/>
      <c r="O9" s="204"/>
      <c r="P9" s="204"/>
      <c r="Q9" s="204"/>
      <c r="R9" s="338"/>
      <c r="S9" s="218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338"/>
      <c r="AQ9" s="217"/>
      <c r="AR9" s="209">
        <f>J9+P9+V9+AB9+AH9+AN9</f>
        <v>2.718</v>
      </c>
    </row>
    <row r="10" spans="1:46" s="209" customFormat="1" ht="15" customHeight="1" x14ac:dyDescent="0.25">
      <c r="A10" s="421"/>
      <c r="B10" s="423"/>
      <c r="C10" s="425"/>
      <c r="D10" s="425"/>
      <c r="E10" s="427"/>
      <c r="F10" s="429"/>
      <c r="G10" s="415"/>
      <c r="H10" s="415"/>
      <c r="I10" s="417"/>
      <c r="J10" s="162">
        <f>J9*7500</f>
        <v>20385</v>
      </c>
      <c r="K10" s="139" t="s">
        <v>8</v>
      </c>
      <c r="L10" s="419"/>
      <c r="M10" s="204"/>
      <c r="N10" s="204"/>
      <c r="O10" s="204"/>
      <c r="P10" s="204"/>
      <c r="Q10" s="204"/>
      <c r="R10" s="338"/>
      <c r="S10" s="218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338"/>
      <c r="AQ10" s="217"/>
      <c r="AR10" s="1"/>
    </row>
    <row r="11" spans="1:46" s="209" customFormat="1" ht="15" customHeight="1" x14ac:dyDescent="0.25">
      <c r="A11" s="420">
        <v>3</v>
      </c>
      <c r="B11" s="432">
        <v>1948145</v>
      </c>
      <c r="C11" s="434" t="s">
        <v>137</v>
      </c>
      <c r="D11" s="424" t="s">
        <v>138</v>
      </c>
      <c r="E11" s="426">
        <v>31.587</v>
      </c>
      <c r="F11" s="428">
        <f t="shared" si="0"/>
        <v>236902.5</v>
      </c>
      <c r="G11" s="414" t="s">
        <v>139</v>
      </c>
      <c r="H11" s="414" t="s">
        <v>140</v>
      </c>
      <c r="I11" s="416" t="s">
        <v>11</v>
      </c>
      <c r="J11" s="162">
        <v>7.9640000000000004</v>
      </c>
      <c r="K11" s="139" t="s">
        <v>5</v>
      </c>
      <c r="L11" s="418">
        <v>45000</v>
      </c>
      <c r="M11" s="204"/>
      <c r="N11" s="204"/>
      <c r="O11" s="204"/>
      <c r="P11" s="204"/>
      <c r="Q11" s="204"/>
      <c r="R11" s="338"/>
      <c r="S11" s="218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338"/>
      <c r="AQ11" s="217"/>
      <c r="AR11" s="209">
        <f>J11+P11+V11+AB11+AH11+AN11</f>
        <v>7.9640000000000004</v>
      </c>
    </row>
    <row r="12" spans="1:46" s="209" customFormat="1" ht="15" customHeight="1" x14ac:dyDescent="0.25">
      <c r="A12" s="421"/>
      <c r="B12" s="433"/>
      <c r="C12" s="435"/>
      <c r="D12" s="425"/>
      <c r="E12" s="427"/>
      <c r="F12" s="429"/>
      <c r="G12" s="415"/>
      <c r="H12" s="415"/>
      <c r="I12" s="417"/>
      <c r="J12" s="162">
        <f>J11*7500</f>
        <v>59730</v>
      </c>
      <c r="K12" s="139" t="s">
        <v>8</v>
      </c>
      <c r="L12" s="419"/>
      <c r="M12" s="204"/>
      <c r="N12" s="204"/>
      <c r="O12" s="204"/>
      <c r="P12" s="204"/>
      <c r="Q12" s="204"/>
      <c r="R12" s="338"/>
      <c r="S12" s="218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338"/>
      <c r="AQ12" s="217"/>
      <c r="AR12" s="1"/>
    </row>
    <row r="13" spans="1:46" s="209" customFormat="1" ht="15" customHeight="1" x14ac:dyDescent="0.25">
      <c r="A13" s="420">
        <v>4</v>
      </c>
      <c r="B13" s="432">
        <v>1948142</v>
      </c>
      <c r="C13" s="434" t="s">
        <v>141</v>
      </c>
      <c r="D13" s="424" t="s">
        <v>142</v>
      </c>
      <c r="E13" s="426">
        <v>78.5</v>
      </c>
      <c r="F13" s="428">
        <f t="shared" si="0"/>
        <v>588750</v>
      </c>
      <c r="G13" s="414" t="s">
        <v>143</v>
      </c>
      <c r="H13" s="414" t="s">
        <v>144</v>
      </c>
      <c r="I13" s="416" t="s">
        <v>11</v>
      </c>
      <c r="J13" s="162">
        <v>11.263</v>
      </c>
      <c r="K13" s="139" t="s">
        <v>5</v>
      </c>
      <c r="L13" s="418">
        <v>120430.1</v>
      </c>
      <c r="M13" s="414" t="s">
        <v>551</v>
      </c>
      <c r="N13" s="414" t="s">
        <v>552</v>
      </c>
      <c r="O13" s="416" t="s">
        <v>41</v>
      </c>
      <c r="P13" s="162">
        <v>2</v>
      </c>
      <c r="Q13" s="139" t="s">
        <v>5</v>
      </c>
      <c r="R13" s="418">
        <v>40000</v>
      </c>
      <c r="S13" s="414"/>
      <c r="T13" s="414"/>
      <c r="U13" s="416"/>
      <c r="V13" s="219"/>
      <c r="W13" s="139"/>
      <c r="X13" s="418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338"/>
      <c r="AQ13" s="217"/>
      <c r="AR13" s="209">
        <f>J13+P13+V13+AB13+AH13+AN13</f>
        <v>13.263</v>
      </c>
    </row>
    <row r="14" spans="1:46" s="209" customFormat="1" ht="15" customHeight="1" x14ac:dyDescent="0.25">
      <c r="A14" s="421"/>
      <c r="B14" s="433"/>
      <c r="C14" s="435"/>
      <c r="D14" s="425"/>
      <c r="E14" s="427"/>
      <c r="F14" s="429"/>
      <c r="G14" s="415"/>
      <c r="H14" s="415"/>
      <c r="I14" s="417"/>
      <c r="J14" s="162">
        <f>J13*7500</f>
        <v>84472.5</v>
      </c>
      <c r="K14" s="139" t="s">
        <v>8</v>
      </c>
      <c r="L14" s="419"/>
      <c r="M14" s="415"/>
      <c r="N14" s="415"/>
      <c r="O14" s="417"/>
      <c r="P14" s="162">
        <f>P13*7500</f>
        <v>15000</v>
      </c>
      <c r="Q14" s="139" t="s">
        <v>8</v>
      </c>
      <c r="R14" s="419"/>
      <c r="S14" s="415"/>
      <c r="T14" s="415"/>
      <c r="U14" s="417"/>
      <c r="V14" s="162"/>
      <c r="W14" s="139"/>
      <c r="X14" s="419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338"/>
      <c r="AQ14" s="217"/>
      <c r="AR14" s="1"/>
    </row>
    <row r="15" spans="1:46" s="209" customFormat="1" ht="15" customHeight="1" x14ac:dyDescent="0.25">
      <c r="A15" s="420">
        <v>5</v>
      </c>
      <c r="B15" s="432">
        <v>1948146</v>
      </c>
      <c r="C15" s="434" t="s">
        <v>545</v>
      </c>
      <c r="D15" s="424" t="s">
        <v>576</v>
      </c>
      <c r="E15" s="426">
        <v>85</v>
      </c>
      <c r="F15" s="428">
        <f t="shared" ref="F15" si="1">E15*7500</f>
        <v>637500</v>
      </c>
      <c r="G15" s="414"/>
      <c r="H15" s="414"/>
      <c r="I15" s="416"/>
      <c r="J15" s="162"/>
      <c r="K15" s="139"/>
      <c r="L15" s="418"/>
      <c r="M15" s="414" t="s">
        <v>546</v>
      </c>
      <c r="N15" s="414" t="s">
        <v>547</v>
      </c>
      <c r="O15" s="416" t="s">
        <v>42</v>
      </c>
      <c r="P15" s="162">
        <v>2</v>
      </c>
      <c r="Q15" s="139" t="s">
        <v>5</v>
      </c>
      <c r="R15" s="418">
        <v>27080</v>
      </c>
      <c r="S15" s="218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338"/>
      <c r="AQ15" s="217"/>
      <c r="AR15" s="209">
        <f>J15+P15+V15+AB15+AH15+AN15</f>
        <v>2</v>
      </c>
    </row>
    <row r="16" spans="1:46" s="209" customFormat="1" ht="15" customHeight="1" x14ac:dyDescent="0.25">
      <c r="A16" s="421"/>
      <c r="B16" s="433"/>
      <c r="C16" s="435"/>
      <c r="D16" s="425"/>
      <c r="E16" s="427"/>
      <c r="F16" s="429"/>
      <c r="G16" s="415"/>
      <c r="H16" s="415"/>
      <c r="I16" s="417"/>
      <c r="J16" s="162"/>
      <c r="K16" s="139"/>
      <c r="L16" s="419"/>
      <c r="M16" s="415"/>
      <c r="N16" s="415"/>
      <c r="O16" s="417"/>
      <c r="P16" s="162">
        <f>P15*7500</f>
        <v>15000</v>
      </c>
      <c r="Q16" s="139" t="s">
        <v>8</v>
      </c>
      <c r="R16" s="419"/>
      <c r="S16" s="218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338"/>
      <c r="AQ16" s="217"/>
      <c r="AR16" s="1"/>
    </row>
    <row r="17" spans="1:44" s="209" customFormat="1" ht="15" customHeight="1" x14ac:dyDescent="0.25">
      <c r="A17" s="420">
        <v>6</v>
      </c>
      <c r="B17" s="432">
        <v>1948132</v>
      </c>
      <c r="C17" s="434" t="s">
        <v>542</v>
      </c>
      <c r="D17" s="424" t="s">
        <v>575</v>
      </c>
      <c r="E17" s="426">
        <v>8</v>
      </c>
      <c r="F17" s="428">
        <f t="shared" ref="F17" si="2">E17*7500</f>
        <v>60000</v>
      </c>
      <c r="G17" s="414"/>
      <c r="H17" s="414"/>
      <c r="I17" s="416"/>
      <c r="J17" s="162"/>
      <c r="K17" s="139"/>
      <c r="L17" s="418"/>
      <c r="M17" s="414" t="s">
        <v>145</v>
      </c>
      <c r="N17" s="414" t="s">
        <v>543</v>
      </c>
      <c r="O17" s="416" t="s">
        <v>42</v>
      </c>
      <c r="P17" s="162">
        <v>0</v>
      </c>
      <c r="Q17" s="139" t="s">
        <v>5</v>
      </c>
      <c r="R17" s="418">
        <f>108320/2</f>
        <v>54160</v>
      </c>
      <c r="S17" s="414" t="s">
        <v>145</v>
      </c>
      <c r="T17" s="414" t="s">
        <v>543</v>
      </c>
      <c r="U17" s="416" t="s">
        <v>42</v>
      </c>
      <c r="V17" s="162">
        <v>3</v>
      </c>
      <c r="W17" s="139" t="s">
        <v>5</v>
      </c>
      <c r="X17" s="418">
        <f>108320/2</f>
        <v>54160</v>
      </c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338"/>
      <c r="AQ17" s="217"/>
      <c r="AR17" s="209">
        <f>J17+P17+V17+AB17+AH17+AN17</f>
        <v>3</v>
      </c>
    </row>
    <row r="18" spans="1:44" s="209" customFormat="1" ht="15" customHeight="1" x14ac:dyDescent="0.25">
      <c r="A18" s="421"/>
      <c r="B18" s="433"/>
      <c r="C18" s="435"/>
      <c r="D18" s="425"/>
      <c r="E18" s="427"/>
      <c r="F18" s="429"/>
      <c r="G18" s="415"/>
      <c r="H18" s="415"/>
      <c r="I18" s="417"/>
      <c r="J18" s="162"/>
      <c r="K18" s="139"/>
      <c r="L18" s="419"/>
      <c r="M18" s="415"/>
      <c r="N18" s="415"/>
      <c r="O18" s="417"/>
      <c r="P18" s="162">
        <f>P17*7500</f>
        <v>0</v>
      </c>
      <c r="Q18" s="139" t="s">
        <v>8</v>
      </c>
      <c r="R18" s="419"/>
      <c r="S18" s="415"/>
      <c r="T18" s="415"/>
      <c r="U18" s="417"/>
      <c r="V18" s="162">
        <f>V17*7500</f>
        <v>22500</v>
      </c>
      <c r="W18" s="139" t="s">
        <v>8</v>
      </c>
      <c r="X18" s="419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338"/>
      <c r="AQ18" s="217"/>
      <c r="AR18" s="1"/>
    </row>
    <row r="19" spans="1:44" s="209" customFormat="1" ht="15" customHeight="1" x14ac:dyDescent="0.25">
      <c r="A19" s="420">
        <v>7</v>
      </c>
      <c r="B19" s="432">
        <v>1948095</v>
      </c>
      <c r="C19" s="434" t="s">
        <v>548</v>
      </c>
      <c r="D19" s="424" t="s">
        <v>577</v>
      </c>
      <c r="E19" s="426">
        <v>31</v>
      </c>
      <c r="F19" s="428">
        <f t="shared" ref="F19" si="3">E19*7500</f>
        <v>232500</v>
      </c>
      <c r="G19" s="414"/>
      <c r="H19" s="414"/>
      <c r="I19" s="416"/>
      <c r="J19" s="162"/>
      <c r="K19" s="139"/>
      <c r="L19" s="418"/>
      <c r="M19" s="414" t="s">
        <v>549</v>
      </c>
      <c r="N19" s="414" t="s">
        <v>550</v>
      </c>
      <c r="O19" s="416" t="s">
        <v>42</v>
      </c>
      <c r="P19" s="162">
        <v>0</v>
      </c>
      <c r="Q19" s="139" t="s">
        <v>5</v>
      </c>
      <c r="R19" s="418">
        <f>54160-9026.667</f>
        <v>45133.332999999999</v>
      </c>
      <c r="S19" s="414" t="s">
        <v>549</v>
      </c>
      <c r="T19" s="414" t="s">
        <v>550</v>
      </c>
      <c r="U19" s="416" t="s">
        <v>42</v>
      </c>
      <c r="V19" s="162">
        <v>4</v>
      </c>
      <c r="W19" s="139" t="s">
        <v>5</v>
      </c>
      <c r="X19" s="418">
        <v>9026.6669999999995</v>
      </c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338"/>
      <c r="AQ19" s="217"/>
      <c r="AR19" s="209">
        <f>J19+P19+V19+AB19+AH19+AN19</f>
        <v>4</v>
      </c>
    </row>
    <row r="20" spans="1:44" s="209" customFormat="1" ht="15" customHeight="1" x14ac:dyDescent="0.25">
      <c r="A20" s="421"/>
      <c r="B20" s="433"/>
      <c r="C20" s="435"/>
      <c r="D20" s="425"/>
      <c r="E20" s="427"/>
      <c r="F20" s="429"/>
      <c r="G20" s="415"/>
      <c r="H20" s="415"/>
      <c r="I20" s="417"/>
      <c r="J20" s="162"/>
      <c r="K20" s="139"/>
      <c r="L20" s="419"/>
      <c r="M20" s="415"/>
      <c r="N20" s="415"/>
      <c r="O20" s="417"/>
      <c r="P20" s="162">
        <f>P19*7500</f>
        <v>0</v>
      </c>
      <c r="Q20" s="139" t="s">
        <v>8</v>
      </c>
      <c r="R20" s="419"/>
      <c r="S20" s="415"/>
      <c r="T20" s="415"/>
      <c r="U20" s="417"/>
      <c r="V20" s="162">
        <f>V19*7500</f>
        <v>30000</v>
      </c>
      <c r="W20" s="139" t="s">
        <v>8</v>
      </c>
      <c r="X20" s="419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338"/>
      <c r="AQ20" s="217"/>
      <c r="AR20" s="1"/>
    </row>
    <row r="21" spans="1:44" s="209" customFormat="1" ht="15" customHeight="1" x14ac:dyDescent="0.25">
      <c r="A21" s="420">
        <v>8</v>
      </c>
      <c r="B21" s="432">
        <v>1948128</v>
      </c>
      <c r="C21" s="434" t="s">
        <v>591</v>
      </c>
      <c r="D21" s="424" t="s">
        <v>579</v>
      </c>
      <c r="E21" s="426">
        <v>65</v>
      </c>
      <c r="F21" s="428">
        <f t="shared" ref="F21" si="4">E21*7500</f>
        <v>487500</v>
      </c>
      <c r="G21" s="414"/>
      <c r="H21" s="414"/>
      <c r="I21" s="416"/>
      <c r="J21" s="162"/>
      <c r="K21" s="139"/>
      <c r="L21" s="418"/>
      <c r="M21" s="414" t="s">
        <v>555</v>
      </c>
      <c r="N21" s="414" t="s">
        <v>135</v>
      </c>
      <c r="O21" s="416" t="s">
        <v>42</v>
      </c>
      <c r="P21" s="162">
        <v>0</v>
      </c>
      <c r="Q21" s="139" t="s">
        <v>5</v>
      </c>
      <c r="R21" s="418">
        <f>(189560/3)-40000</f>
        <v>23186.666666666664</v>
      </c>
      <c r="S21" s="414" t="s">
        <v>555</v>
      </c>
      <c r="T21" s="414" t="s">
        <v>135</v>
      </c>
      <c r="U21" s="416" t="s">
        <v>42</v>
      </c>
      <c r="V21" s="162">
        <v>0</v>
      </c>
      <c r="W21" s="139" t="s">
        <v>5</v>
      </c>
      <c r="X21" s="418">
        <f>(189560/3)+30000</f>
        <v>93186.666666666657</v>
      </c>
      <c r="Y21" s="414" t="s">
        <v>555</v>
      </c>
      <c r="Z21" s="414" t="s">
        <v>135</v>
      </c>
      <c r="AA21" s="416" t="s">
        <v>42</v>
      </c>
      <c r="AB21" s="162">
        <v>14</v>
      </c>
      <c r="AC21" s="139" t="s">
        <v>5</v>
      </c>
      <c r="AD21" s="418">
        <f>(189560/3)+40000-30000</f>
        <v>73186.666666666657</v>
      </c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338"/>
      <c r="AQ21" s="217"/>
      <c r="AR21" s="209">
        <f>J21+P21+V21+AB21+AH21+AN21</f>
        <v>14</v>
      </c>
    </row>
    <row r="22" spans="1:44" s="209" customFormat="1" ht="15" customHeight="1" x14ac:dyDescent="0.25">
      <c r="A22" s="421"/>
      <c r="B22" s="433"/>
      <c r="C22" s="435"/>
      <c r="D22" s="425"/>
      <c r="E22" s="427"/>
      <c r="F22" s="429"/>
      <c r="G22" s="415"/>
      <c r="H22" s="415"/>
      <c r="I22" s="417"/>
      <c r="J22" s="162"/>
      <c r="K22" s="139"/>
      <c r="L22" s="419"/>
      <c r="M22" s="415"/>
      <c r="N22" s="415"/>
      <c r="O22" s="417"/>
      <c r="P22" s="162">
        <f>P21*7500</f>
        <v>0</v>
      </c>
      <c r="Q22" s="139" t="s">
        <v>8</v>
      </c>
      <c r="R22" s="419"/>
      <c r="S22" s="415"/>
      <c r="T22" s="415"/>
      <c r="U22" s="417"/>
      <c r="V22" s="162">
        <f>V21*7500</f>
        <v>0</v>
      </c>
      <c r="W22" s="139" t="s">
        <v>8</v>
      </c>
      <c r="X22" s="419"/>
      <c r="Y22" s="415"/>
      <c r="Z22" s="415"/>
      <c r="AA22" s="417"/>
      <c r="AB22" s="162">
        <f>AB21*7500</f>
        <v>105000</v>
      </c>
      <c r="AC22" s="139" t="s">
        <v>8</v>
      </c>
      <c r="AD22" s="419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338"/>
      <c r="AQ22" s="217"/>
      <c r="AR22" s="1"/>
    </row>
    <row r="23" spans="1:44" s="209" customFormat="1" ht="15" customHeight="1" x14ac:dyDescent="0.25">
      <c r="A23" s="420">
        <v>9</v>
      </c>
      <c r="B23" s="432">
        <v>1948102</v>
      </c>
      <c r="C23" s="434" t="s">
        <v>544</v>
      </c>
      <c r="D23" s="424" t="s">
        <v>578</v>
      </c>
      <c r="E23" s="426">
        <v>1.5</v>
      </c>
      <c r="F23" s="428">
        <f t="shared" ref="F23" si="5">E23*7500</f>
        <v>11250</v>
      </c>
      <c r="G23" s="414"/>
      <c r="H23" s="414"/>
      <c r="I23" s="416"/>
      <c r="J23" s="162"/>
      <c r="K23" s="139"/>
      <c r="L23" s="418"/>
      <c r="M23" s="414"/>
      <c r="N23" s="414"/>
      <c r="O23" s="416"/>
      <c r="P23" s="162"/>
      <c r="Q23" s="139"/>
      <c r="R23" s="418"/>
      <c r="S23" s="414" t="s">
        <v>145</v>
      </c>
      <c r="T23" s="414" t="s">
        <v>554</v>
      </c>
      <c r="U23" s="416" t="s">
        <v>42</v>
      </c>
      <c r="V23" s="162">
        <v>1.5</v>
      </c>
      <c r="W23" s="139" t="s">
        <v>5</v>
      </c>
      <c r="X23" s="418">
        <v>20310</v>
      </c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338"/>
      <c r="AQ23" s="217"/>
      <c r="AR23" s="209">
        <f>J23+P23+V23+AB23+AH23+AN23</f>
        <v>1.5</v>
      </c>
    </row>
    <row r="24" spans="1:44" s="209" customFormat="1" ht="15" customHeight="1" x14ac:dyDescent="0.25">
      <c r="A24" s="421"/>
      <c r="B24" s="433"/>
      <c r="C24" s="435"/>
      <c r="D24" s="425"/>
      <c r="E24" s="427"/>
      <c r="F24" s="429"/>
      <c r="G24" s="415"/>
      <c r="H24" s="415"/>
      <c r="I24" s="417"/>
      <c r="J24" s="162"/>
      <c r="K24" s="139"/>
      <c r="L24" s="419"/>
      <c r="M24" s="415"/>
      <c r="N24" s="415"/>
      <c r="O24" s="417"/>
      <c r="P24" s="162"/>
      <c r="Q24" s="139"/>
      <c r="R24" s="419"/>
      <c r="S24" s="415"/>
      <c r="T24" s="415"/>
      <c r="U24" s="417"/>
      <c r="V24" s="162">
        <f>V23*7500</f>
        <v>11250</v>
      </c>
      <c r="W24" s="139" t="s">
        <v>8</v>
      </c>
      <c r="X24" s="419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338"/>
      <c r="AQ24" s="217"/>
      <c r="AR24" s="1"/>
    </row>
    <row r="25" spans="1:44" s="209" customFormat="1" ht="15" customHeight="1" x14ac:dyDescent="0.25">
      <c r="A25" s="420">
        <v>10</v>
      </c>
      <c r="B25" s="432">
        <v>1948090</v>
      </c>
      <c r="C25" s="434" t="s">
        <v>556</v>
      </c>
      <c r="D25" s="424" t="s">
        <v>580</v>
      </c>
      <c r="E25" s="426">
        <v>73</v>
      </c>
      <c r="F25" s="428">
        <f t="shared" ref="F25" si="6">E25*7500</f>
        <v>547500</v>
      </c>
      <c r="G25" s="414"/>
      <c r="H25" s="414"/>
      <c r="I25" s="416"/>
      <c r="J25" s="162"/>
      <c r="K25" s="139"/>
      <c r="L25" s="418"/>
      <c r="M25" s="414"/>
      <c r="N25" s="414"/>
      <c r="O25" s="416"/>
      <c r="P25" s="162"/>
      <c r="Q25" s="139"/>
      <c r="R25" s="418"/>
      <c r="S25" s="414" t="s">
        <v>557</v>
      </c>
      <c r="T25" s="414" t="s">
        <v>558</v>
      </c>
      <c r="U25" s="416" t="s">
        <v>42</v>
      </c>
      <c r="V25" s="162">
        <v>5</v>
      </c>
      <c r="W25" s="139" t="s">
        <v>5</v>
      </c>
      <c r="X25" s="418">
        <v>67700</v>
      </c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338"/>
      <c r="AQ25" s="217"/>
      <c r="AR25" s="209">
        <f>J25+P25+V25+AB25+AH25+AN25</f>
        <v>5</v>
      </c>
    </row>
    <row r="26" spans="1:44" s="209" customFormat="1" ht="15" customHeight="1" x14ac:dyDescent="0.25">
      <c r="A26" s="421"/>
      <c r="B26" s="433"/>
      <c r="C26" s="435"/>
      <c r="D26" s="425"/>
      <c r="E26" s="427"/>
      <c r="F26" s="429"/>
      <c r="G26" s="415"/>
      <c r="H26" s="415"/>
      <c r="I26" s="417"/>
      <c r="J26" s="162"/>
      <c r="K26" s="139"/>
      <c r="L26" s="419"/>
      <c r="M26" s="415"/>
      <c r="N26" s="415"/>
      <c r="O26" s="417"/>
      <c r="P26" s="162"/>
      <c r="Q26" s="139"/>
      <c r="R26" s="419"/>
      <c r="S26" s="415"/>
      <c r="T26" s="415"/>
      <c r="U26" s="417"/>
      <c r="V26" s="162">
        <f>V25*7500</f>
        <v>37500</v>
      </c>
      <c r="W26" s="139" t="s">
        <v>8</v>
      </c>
      <c r="X26" s="419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338"/>
      <c r="AQ26" s="217"/>
      <c r="AR26" s="1"/>
    </row>
    <row r="27" spans="1:44" s="209" customFormat="1" ht="15" customHeight="1" x14ac:dyDescent="0.25">
      <c r="A27" s="420">
        <v>11</v>
      </c>
      <c r="B27" s="432">
        <v>1948184</v>
      </c>
      <c r="C27" s="434" t="s">
        <v>290</v>
      </c>
      <c r="D27" s="424" t="s">
        <v>574</v>
      </c>
      <c r="E27" s="426">
        <v>37.9</v>
      </c>
      <c r="F27" s="428">
        <f t="shared" ref="F27" si="7">E27*7500</f>
        <v>284250</v>
      </c>
      <c r="G27" s="414"/>
      <c r="H27" s="414"/>
      <c r="I27" s="416"/>
      <c r="J27" s="162"/>
      <c r="K27" s="139"/>
      <c r="L27" s="418"/>
      <c r="M27" s="414"/>
      <c r="N27" s="414"/>
      <c r="O27" s="416"/>
      <c r="P27" s="162"/>
      <c r="Q27" s="139"/>
      <c r="R27" s="418"/>
      <c r="S27" s="414" t="s">
        <v>540</v>
      </c>
      <c r="T27" s="414" t="s">
        <v>541</v>
      </c>
      <c r="U27" s="416" t="s">
        <v>11</v>
      </c>
      <c r="V27" s="162">
        <v>2</v>
      </c>
      <c r="W27" s="139" t="s">
        <v>5</v>
      </c>
      <c r="X27" s="418">
        <f t="shared" ref="X27" si="8">V27*25000</f>
        <v>50000</v>
      </c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414"/>
      <c r="AL27" s="414"/>
      <c r="AM27" s="416"/>
      <c r="AN27" s="162"/>
      <c r="AO27" s="139"/>
      <c r="AP27" s="418"/>
      <c r="AQ27" s="217"/>
      <c r="AR27" s="209">
        <f>J27+P27+V27+AB27+AH27+AN27</f>
        <v>2</v>
      </c>
    </row>
    <row r="28" spans="1:44" s="209" customFormat="1" ht="15" customHeight="1" x14ac:dyDescent="0.25">
      <c r="A28" s="421"/>
      <c r="B28" s="433"/>
      <c r="C28" s="435"/>
      <c r="D28" s="425"/>
      <c r="E28" s="427"/>
      <c r="F28" s="429"/>
      <c r="G28" s="415"/>
      <c r="H28" s="415"/>
      <c r="I28" s="417"/>
      <c r="J28" s="162"/>
      <c r="K28" s="139"/>
      <c r="L28" s="419"/>
      <c r="M28" s="415"/>
      <c r="N28" s="415"/>
      <c r="O28" s="417"/>
      <c r="P28" s="162"/>
      <c r="Q28" s="139"/>
      <c r="R28" s="419"/>
      <c r="S28" s="415"/>
      <c r="T28" s="415"/>
      <c r="U28" s="417"/>
      <c r="V28" s="162">
        <f>V27*7500</f>
        <v>15000</v>
      </c>
      <c r="W28" s="139" t="s">
        <v>8</v>
      </c>
      <c r="X28" s="419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415"/>
      <c r="AL28" s="415"/>
      <c r="AM28" s="417"/>
      <c r="AN28" s="162"/>
      <c r="AO28" s="139"/>
      <c r="AP28" s="419"/>
      <c r="AQ28" s="217"/>
      <c r="AR28" s="1"/>
    </row>
    <row r="29" spans="1:44" s="209" customFormat="1" ht="15" customHeight="1" x14ac:dyDescent="0.25">
      <c r="A29" s="420">
        <v>12</v>
      </c>
      <c r="B29" s="432">
        <v>1948138</v>
      </c>
      <c r="C29" s="434" t="s">
        <v>562</v>
      </c>
      <c r="D29" s="424" t="s">
        <v>583</v>
      </c>
      <c r="E29" s="426">
        <v>36</v>
      </c>
      <c r="F29" s="428">
        <f t="shared" ref="F29" si="9">E29*7500</f>
        <v>270000</v>
      </c>
      <c r="G29" s="414"/>
      <c r="H29" s="414"/>
      <c r="I29" s="416"/>
      <c r="J29" s="162"/>
      <c r="K29" s="139"/>
      <c r="L29" s="418"/>
      <c r="M29" s="414"/>
      <c r="N29" s="414"/>
      <c r="O29" s="416"/>
      <c r="P29" s="162"/>
      <c r="Q29" s="139"/>
      <c r="R29" s="418"/>
      <c r="S29" s="414" t="s">
        <v>563</v>
      </c>
      <c r="T29" s="414" t="s">
        <v>564</v>
      </c>
      <c r="U29" s="416" t="s">
        <v>42</v>
      </c>
      <c r="V29" s="162">
        <v>0</v>
      </c>
      <c r="W29" s="139" t="s">
        <v>5</v>
      </c>
      <c r="X29" s="418">
        <v>23186.666000000001</v>
      </c>
      <c r="Y29" s="414" t="s">
        <v>563</v>
      </c>
      <c r="Z29" s="414" t="s">
        <v>564</v>
      </c>
      <c r="AA29" s="416" t="s">
        <v>42</v>
      </c>
      <c r="AB29" s="162">
        <v>0</v>
      </c>
      <c r="AC29" s="139" t="s">
        <v>5</v>
      </c>
      <c r="AD29" s="418">
        <f>(166542/2)-X29</f>
        <v>60084.334000000003</v>
      </c>
      <c r="AE29" s="414" t="s">
        <v>563</v>
      </c>
      <c r="AF29" s="414" t="s">
        <v>564</v>
      </c>
      <c r="AG29" s="416" t="s">
        <v>42</v>
      </c>
      <c r="AH29" s="162">
        <v>12.3</v>
      </c>
      <c r="AI29" s="139" t="s">
        <v>5</v>
      </c>
      <c r="AJ29" s="418">
        <f>166542/2</f>
        <v>83271</v>
      </c>
      <c r="AK29" s="204"/>
      <c r="AL29" s="204"/>
      <c r="AM29" s="204"/>
      <c r="AN29" s="204"/>
      <c r="AO29" s="204"/>
      <c r="AP29" s="338"/>
      <c r="AQ29" s="217"/>
      <c r="AR29" s="209">
        <f>J29+P29+V29+AB29+AH29+AN29</f>
        <v>12.3</v>
      </c>
    </row>
    <row r="30" spans="1:44" s="209" customFormat="1" ht="15" customHeight="1" x14ac:dyDescent="0.25">
      <c r="A30" s="421"/>
      <c r="B30" s="433"/>
      <c r="C30" s="435"/>
      <c r="D30" s="425"/>
      <c r="E30" s="427"/>
      <c r="F30" s="429"/>
      <c r="G30" s="415"/>
      <c r="H30" s="415"/>
      <c r="I30" s="417"/>
      <c r="J30" s="162"/>
      <c r="K30" s="139"/>
      <c r="L30" s="419"/>
      <c r="M30" s="415"/>
      <c r="N30" s="415"/>
      <c r="O30" s="417"/>
      <c r="P30" s="162"/>
      <c r="Q30" s="139"/>
      <c r="R30" s="419"/>
      <c r="S30" s="415"/>
      <c r="T30" s="415"/>
      <c r="U30" s="417"/>
      <c r="V30" s="162">
        <f>V29*7500</f>
        <v>0</v>
      </c>
      <c r="W30" s="139" t="s">
        <v>8</v>
      </c>
      <c r="X30" s="419"/>
      <c r="Y30" s="415"/>
      <c r="Z30" s="415"/>
      <c r="AA30" s="417"/>
      <c r="AB30" s="162">
        <f>AB29*7500</f>
        <v>0</v>
      </c>
      <c r="AC30" s="139" t="s">
        <v>8</v>
      </c>
      <c r="AD30" s="419"/>
      <c r="AE30" s="415"/>
      <c r="AF30" s="415"/>
      <c r="AG30" s="417"/>
      <c r="AH30" s="162">
        <f>AH29*7500</f>
        <v>92250</v>
      </c>
      <c r="AI30" s="139" t="s">
        <v>8</v>
      </c>
      <c r="AJ30" s="419"/>
      <c r="AK30" s="204"/>
      <c r="AL30" s="204"/>
      <c r="AM30" s="204"/>
      <c r="AN30" s="204"/>
      <c r="AO30" s="204"/>
      <c r="AP30" s="338"/>
      <c r="AQ30" s="217"/>
      <c r="AR30" s="1"/>
    </row>
    <row r="31" spans="1:44" s="209" customFormat="1" ht="15" customHeight="1" x14ac:dyDescent="0.25">
      <c r="A31" s="420">
        <v>13</v>
      </c>
      <c r="B31" s="432">
        <v>1948115</v>
      </c>
      <c r="C31" s="434" t="s">
        <v>559</v>
      </c>
      <c r="D31" s="424" t="s">
        <v>581</v>
      </c>
      <c r="E31" s="426">
        <v>13</v>
      </c>
      <c r="F31" s="428">
        <f t="shared" ref="F31" si="10">E31*7500</f>
        <v>97500</v>
      </c>
      <c r="G31" s="414"/>
      <c r="H31" s="414"/>
      <c r="I31" s="416"/>
      <c r="J31" s="162"/>
      <c r="K31" s="139"/>
      <c r="L31" s="418"/>
      <c r="M31" s="414"/>
      <c r="N31" s="414"/>
      <c r="O31" s="416"/>
      <c r="P31" s="162"/>
      <c r="Q31" s="139"/>
      <c r="R31" s="418"/>
      <c r="S31" s="414"/>
      <c r="T31" s="414"/>
      <c r="U31" s="416"/>
      <c r="V31" s="162"/>
      <c r="W31" s="139"/>
      <c r="X31" s="418"/>
      <c r="Y31" s="414" t="s">
        <v>560</v>
      </c>
      <c r="Z31" s="414" t="s">
        <v>170</v>
      </c>
      <c r="AA31" s="416" t="s">
        <v>42</v>
      </c>
      <c r="AB31" s="162">
        <v>0</v>
      </c>
      <c r="AC31" s="139" t="s">
        <v>5</v>
      </c>
      <c r="AD31" s="418">
        <f>108320/2</f>
        <v>54160</v>
      </c>
      <c r="AE31" s="414" t="s">
        <v>560</v>
      </c>
      <c r="AF31" s="414" t="s">
        <v>170</v>
      </c>
      <c r="AG31" s="416" t="s">
        <v>42</v>
      </c>
      <c r="AH31" s="162">
        <v>8</v>
      </c>
      <c r="AI31" s="139" t="s">
        <v>5</v>
      </c>
      <c r="AJ31" s="418">
        <f>108320/2</f>
        <v>54160</v>
      </c>
      <c r="AK31" s="204"/>
      <c r="AL31" s="204"/>
      <c r="AM31" s="204"/>
      <c r="AN31" s="204"/>
      <c r="AO31" s="204"/>
      <c r="AP31" s="338"/>
      <c r="AQ31" s="217"/>
      <c r="AR31" s="209">
        <f>J31+P31+V31+AB31+AH31+AN31</f>
        <v>8</v>
      </c>
    </row>
    <row r="32" spans="1:44" s="209" customFormat="1" ht="15" customHeight="1" x14ac:dyDescent="0.25">
      <c r="A32" s="421"/>
      <c r="B32" s="433"/>
      <c r="C32" s="435"/>
      <c r="D32" s="425"/>
      <c r="E32" s="427"/>
      <c r="F32" s="429"/>
      <c r="G32" s="415"/>
      <c r="H32" s="415"/>
      <c r="I32" s="417"/>
      <c r="J32" s="162"/>
      <c r="K32" s="139"/>
      <c r="L32" s="419"/>
      <c r="M32" s="415"/>
      <c r="N32" s="415"/>
      <c r="O32" s="417"/>
      <c r="P32" s="162"/>
      <c r="Q32" s="139"/>
      <c r="R32" s="419"/>
      <c r="S32" s="415"/>
      <c r="T32" s="415"/>
      <c r="U32" s="417"/>
      <c r="V32" s="162"/>
      <c r="W32" s="139"/>
      <c r="X32" s="419"/>
      <c r="Y32" s="415"/>
      <c r="Z32" s="415"/>
      <c r="AA32" s="417"/>
      <c r="AB32" s="162">
        <f>AB31*7500</f>
        <v>0</v>
      </c>
      <c r="AC32" s="139" t="s">
        <v>8</v>
      </c>
      <c r="AD32" s="419"/>
      <c r="AE32" s="415"/>
      <c r="AF32" s="415"/>
      <c r="AG32" s="417"/>
      <c r="AH32" s="162">
        <f>AH31*7500</f>
        <v>60000</v>
      </c>
      <c r="AI32" s="139" t="s">
        <v>8</v>
      </c>
      <c r="AJ32" s="419"/>
      <c r="AK32" s="204"/>
      <c r="AL32" s="204"/>
      <c r="AM32" s="204"/>
      <c r="AN32" s="204"/>
      <c r="AO32" s="204"/>
      <c r="AP32" s="338"/>
      <c r="AQ32" s="217"/>
      <c r="AR32" s="1"/>
    </row>
    <row r="33" spans="1:59" s="209" customFormat="1" ht="15" customHeight="1" x14ac:dyDescent="0.25">
      <c r="A33" s="420">
        <v>14</v>
      </c>
      <c r="B33" s="432">
        <v>1948188</v>
      </c>
      <c r="C33" s="434" t="s">
        <v>225</v>
      </c>
      <c r="D33" s="424" t="s">
        <v>582</v>
      </c>
      <c r="E33" s="426">
        <v>10</v>
      </c>
      <c r="F33" s="428">
        <f t="shared" ref="F33" si="11">E33*7500</f>
        <v>75000</v>
      </c>
      <c r="G33" s="414"/>
      <c r="H33" s="414"/>
      <c r="I33" s="416"/>
      <c r="J33" s="162"/>
      <c r="K33" s="139"/>
      <c r="L33" s="418"/>
      <c r="M33" s="414"/>
      <c r="N33" s="414"/>
      <c r="O33" s="416"/>
      <c r="P33" s="162"/>
      <c r="Q33" s="139"/>
      <c r="R33" s="418"/>
      <c r="S33" s="414"/>
      <c r="T33" s="414"/>
      <c r="U33" s="416"/>
      <c r="V33" s="162"/>
      <c r="W33" s="139"/>
      <c r="X33" s="418"/>
      <c r="Y33" s="414" t="s">
        <v>145</v>
      </c>
      <c r="Z33" s="414" t="s">
        <v>561</v>
      </c>
      <c r="AA33" s="416" t="s">
        <v>42</v>
      </c>
      <c r="AB33" s="162">
        <v>0</v>
      </c>
      <c r="AC33" s="139" t="s">
        <v>5</v>
      </c>
      <c r="AD33" s="418">
        <f>135400/2</f>
        <v>67700</v>
      </c>
      <c r="AE33" s="414" t="s">
        <v>145</v>
      </c>
      <c r="AF33" s="414" t="s">
        <v>561</v>
      </c>
      <c r="AG33" s="416" t="s">
        <v>42</v>
      </c>
      <c r="AH33" s="162">
        <v>0</v>
      </c>
      <c r="AI33" s="139" t="s">
        <v>5</v>
      </c>
      <c r="AJ33" s="418">
        <f>(135400/2)/2</f>
        <v>33850</v>
      </c>
      <c r="AK33" s="414" t="s">
        <v>145</v>
      </c>
      <c r="AL33" s="414" t="s">
        <v>561</v>
      </c>
      <c r="AM33" s="416" t="s">
        <v>42</v>
      </c>
      <c r="AN33" s="162">
        <v>10</v>
      </c>
      <c r="AO33" s="139" t="s">
        <v>5</v>
      </c>
      <c r="AP33" s="418">
        <f>(135400/2)+AJ33</f>
        <v>101550</v>
      </c>
      <c r="AQ33" s="217"/>
      <c r="AR33" s="209">
        <f>J33+P33+V33+AB33+AH33+AN33</f>
        <v>10</v>
      </c>
    </row>
    <row r="34" spans="1:59" s="209" customFormat="1" ht="15" customHeight="1" x14ac:dyDescent="0.25">
      <c r="A34" s="421"/>
      <c r="B34" s="433"/>
      <c r="C34" s="435"/>
      <c r="D34" s="425"/>
      <c r="E34" s="427"/>
      <c r="F34" s="429"/>
      <c r="G34" s="415"/>
      <c r="H34" s="415"/>
      <c r="I34" s="417"/>
      <c r="J34" s="162"/>
      <c r="K34" s="139"/>
      <c r="L34" s="419"/>
      <c r="M34" s="415"/>
      <c r="N34" s="415"/>
      <c r="O34" s="417"/>
      <c r="P34" s="162"/>
      <c r="Q34" s="139"/>
      <c r="R34" s="419"/>
      <c r="S34" s="415"/>
      <c r="T34" s="415"/>
      <c r="U34" s="417"/>
      <c r="V34" s="162"/>
      <c r="W34" s="139"/>
      <c r="X34" s="419"/>
      <c r="Y34" s="415"/>
      <c r="Z34" s="415"/>
      <c r="AA34" s="417"/>
      <c r="AB34" s="162">
        <f>AB33*7500</f>
        <v>0</v>
      </c>
      <c r="AC34" s="139" t="s">
        <v>8</v>
      </c>
      <c r="AD34" s="419"/>
      <c r="AE34" s="415"/>
      <c r="AF34" s="415"/>
      <c r="AG34" s="417"/>
      <c r="AH34" s="162">
        <f>AH33*7500</f>
        <v>0</v>
      </c>
      <c r="AI34" s="139" t="s">
        <v>8</v>
      </c>
      <c r="AJ34" s="419"/>
      <c r="AK34" s="415"/>
      <c r="AL34" s="415"/>
      <c r="AM34" s="417"/>
      <c r="AN34" s="162">
        <f>AN33*7500</f>
        <v>75000</v>
      </c>
      <c r="AO34" s="139" t="s">
        <v>8</v>
      </c>
      <c r="AP34" s="419"/>
      <c r="AQ34" s="217"/>
      <c r="AR34" s="1"/>
    </row>
    <row r="35" spans="1:59" s="209" customFormat="1" ht="15" customHeight="1" x14ac:dyDescent="0.25">
      <c r="A35" s="420">
        <v>15</v>
      </c>
      <c r="B35" s="432">
        <v>1948126</v>
      </c>
      <c r="C35" s="434" t="s">
        <v>567</v>
      </c>
      <c r="D35" s="424" t="s">
        <v>586</v>
      </c>
      <c r="E35" s="426">
        <v>42</v>
      </c>
      <c r="F35" s="428">
        <f t="shared" ref="F35" si="12">E35*7500</f>
        <v>315000</v>
      </c>
      <c r="G35" s="414"/>
      <c r="H35" s="414"/>
      <c r="I35" s="416"/>
      <c r="J35" s="162"/>
      <c r="K35" s="139"/>
      <c r="L35" s="418"/>
      <c r="M35" s="414"/>
      <c r="N35" s="414"/>
      <c r="O35" s="416"/>
      <c r="P35" s="162"/>
      <c r="Q35" s="139"/>
      <c r="R35" s="418"/>
      <c r="S35" s="414"/>
      <c r="T35" s="414"/>
      <c r="U35" s="416"/>
      <c r="V35" s="162"/>
      <c r="W35" s="139"/>
      <c r="X35" s="418"/>
      <c r="Y35" s="414" t="s">
        <v>145</v>
      </c>
      <c r="Z35" s="414" t="s">
        <v>555</v>
      </c>
      <c r="AA35" s="416" t="s">
        <v>42</v>
      </c>
      <c r="AB35" s="162">
        <v>0</v>
      </c>
      <c r="AC35" s="139" t="s">
        <v>5</v>
      </c>
      <c r="AD35" s="418">
        <f>189560/3</f>
        <v>63186.666666666664</v>
      </c>
      <c r="AE35" s="414" t="s">
        <v>145</v>
      </c>
      <c r="AF35" s="414" t="s">
        <v>555</v>
      </c>
      <c r="AG35" s="416" t="s">
        <v>42</v>
      </c>
      <c r="AH35" s="162">
        <v>0</v>
      </c>
      <c r="AI35" s="139" t="s">
        <v>5</v>
      </c>
      <c r="AJ35" s="418">
        <f>189560/3</f>
        <v>63186.666666666664</v>
      </c>
      <c r="AK35" s="414" t="s">
        <v>145</v>
      </c>
      <c r="AL35" s="414" t="s">
        <v>555</v>
      </c>
      <c r="AM35" s="416" t="s">
        <v>42</v>
      </c>
      <c r="AN35" s="162">
        <v>14</v>
      </c>
      <c r="AO35" s="139" t="s">
        <v>5</v>
      </c>
      <c r="AP35" s="418">
        <f>189560/3</f>
        <v>63186.666666666664</v>
      </c>
      <c r="AQ35" s="217"/>
      <c r="AR35" s="209">
        <f>J35+P35+V35+AB35+AH35+AN35</f>
        <v>14</v>
      </c>
    </row>
    <row r="36" spans="1:59" s="209" customFormat="1" ht="15" customHeight="1" x14ac:dyDescent="0.25">
      <c r="A36" s="421"/>
      <c r="B36" s="433"/>
      <c r="C36" s="435"/>
      <c r="D36" s="425"/>
      <c r="E36" s="427"/>
      <c r="F36" s="429"/>
      <c r="G36" s="415"/>
      <c r="H36" s="415"/>
      <c r="I36" s="417"/>
      <c r="J36" s="162"/>
      <c r="K36" s="139"/>
      <c r="L36" s="419"/>
      <c r="M36" s="415"/>
      <c r="N36" s="415"/>
      <c r="O36" s="417"/>
      <c r="P36" s="162"/>
      <c r="Q36" s="139"/>
      <c r="R36" s="419"/>
      <c r="S36" s="415"/>
      <c r="T36" s="415"/>
      <c r="U36" s="417"/>
      <c r="V36" s="162"/>
      <c r="W36" s="139"/>
      <c r="X36" s="419"/>
      <c r="Y36" s="415"/>
      <c r="Z36" s="415"/>
      <c r="AA36" s="417"/>
      <c r="AB36" s="162">
        <f>AB35*7500</f>
        <v>0</v>
      </c>
      <c r="AC36" s="139" t="s">
        <v>8</v>
      </c>
      <c r="AD36" s="419"/>
      <c r="AE36" s="415"/>
      <c r="AF36" s="415"/>
      <c r="AG36" s="417"/>
      <c r="AH36" s="162">
        <f>AH35*7500</f>
        <v>0</v>
      </c>
      <c r="AI36" s="139" t="s">
        <v>8</v>
      </c>
      <c r="AJ36" s="419"/>
      <c r="AK36" s="415"/>
      <c r="AL36" s="415"/>
      <c r="AM36" s="417"/>
      <c r="AN36" s="162">
        <f>AN35*7500</f>
        <v>105000</v>
      </c>
      <c r="AO36" s="139" t="s">
        <v>8</v>
      </c>
      <c r="AP36" s="419"/>
      <c r="AQ36" s="217"/>
      <c r="AR36" s="1"/>
    </row>
    <row r="37" spans="1:59" s="209" customFormat="1" ht="15" customHeight="1" x14ac:dyDescent="0.25">
      <c r="A37" s="420">
        <v>16</v>
      </c>
      <c r="B37" s="432">
        <v>1948089</v>
      </c>
      <c r="C37" s="434" t="s">
        <v>570</v>
      </c>
      <c r="D37" s="424" t="s">
        <v>588</v>
      </c>
      <c r="E37" s="426">
        <v>28.9</v>
      </c>
      <c r="F37" s="428">
        <f t="shared" ref="F37" si="13">E37*7500</f>
        <v>216750</v>
      </c>
      <c r="G37" s="414"/>
      <c r="H37" s="414"/>
      <c r="I37" s="416"/>
      <c r="J37" s="162"/>
      <c r="K37" s="139"/>
      <c r="L37" s="418"/>
      <c r="M37" s="414"/>
      <c r="N37" s="414"/>
      <c r="O37" s="416"/>
      <c r="P37" s="162"/>
      <c r="Q37" s="139"/>
      <c r="R37" s="418"/>
      <c r="S37" s="414"/>
      <c r="T37" s="414"/>
      <c r="U37" s="416"/>
      <c r="V37" s="162"/>
      <c r="W37" s="139"/>
      <c r="X37" s="418"/>
      <c r="Y37" s="414" t="s">
        <v>571</v>
      </c>
      <c r="Z37" s="414" t="s">
        <v>572</v>
      </c>
      <c r="AA37" s="416" t="s">
        <v>42</v>
      </c>
      <c r="AB37" s="162">
        <v>0</v>
      </c>
      <c r="AC37" s="139" t="s">
        <v>5</v>
      </c>
      <c r="AD37" s="418">
        <f>(447500/3)-47222.334-40000+30000</f>
        <v>91944.332666666654</v>
      </c>
      <c r="AE37" s="414" t="s">
        <v>571</v>
      </c>
      <c r="AF37" s="414" t="s">
        <v>572</v>
      </c>
      <c r="AG37" s="416" t="s">
        <v>42</v>
      </c>
      <c r="AH37" s="162">
        <v>0</v>
      </c>
      <c r="AI37" s="139" t="s">
        <v>5</v>
      </c>
      <c r="AJ37" s="418">
        <f>(447500/3)-82314.303</f>
        <v>66852.363666666657</v>
      </c>
      <c r="AK37" s="414" t="s">
        <v>571</v>
      </c>
      <c r="AL37" s="414" t="s">
        <v>572</v>
      </c>
      <c r="AM37" s="416" t="s">
        <v>42</v>
      </c>
      <c r="AN37" s="162">
        <v>17.899999999999999</v>
      </c>
      <c r="AO37" s="139" t="s">
        <v>5</v>
      </c>
      <c r="AP37" s="418">
        <f>(447500/3)+AJ37-45015.729+40000+107700-30000-67700</f>
        <v>221003.30133333331</v>
      </c>
      <c r="AQ37" s="217"/>
      <c r="AR37" s="209">
        <f>J37+P37+V37+AB37+AH37+AN37</f>
        <v>17.899999999999999</v>
      </c>
    </row>
    <row r="38" spans="1:59" s="209" customFormat="1" ht="15" customHeight="1" x14ac:dyDescent="0.25">
      <c r="A38" s="421"/>
      <c r="B38" s="433"/>
      <c r="C38" s="435"/>
      <c r="D38" s="425"/>
      <c r="E38" s="427"/>
      <c r="F38" s="429"/>
      <c r="G38" s="415"/>
      <c r="H38" s="415"/>
      <c r="I38" s="417"/>
      <c r="J38" s="162"/>
      <c r="K38" s="139"/>
      <c r="L38" s="419"/>
      <c r="M38" s="415"/>
      <c r="N38" s="415"/>
      <c r="O38" s="417"/>
      <c r="P38" s="162"/>
      <c r="Q38" s="139"/>
      <c r="R38" s="419"/>
      <c r="S38" s="415"/>
      <c r="T38" s="415"/>
      <c r="U38" s="417"/>
      <c r="V38" s="162"/>
      <c r="W38" s="139"/>
      <c r="X38" s="419"/>
      <c r="Y38" s="415"/>
      <c r="Z38" s="415"/>
      <c r="AA38" s="417"/>
      <c r="AB38" s="162">
        <f>AB37*7500</f>
        <v>0</v>
      </c>
      <c r="AC38" s="139" t="s">
        <v>8</v>
      </c>
      <c r="AD38" s="419"/>
      <c r="AE38" s="415"/>
      <c r="AF38" s="415"/>
      <c r="AG38" s="417"/>
      <c r="AH38" s="162">
        <f>AH37*7500</f>
        <v>0</v>
      </c>
      <c r="AI38" s="139" t="s">
        <v>8</v>
      </c>
      <c r="AJ38" s="419"/>
      <c r="AK38" s="415"/>
      <c r="AL38" s="415"/>
      <c r="AM38" s="417"/>
      <c r="AN38" s="162">
        <f>AN37*7500</f>
        <v>134250</v>
      </c>
      <c r="AO38" s="139" t="s">
        <v>8</v>
      </c>
      <c r="AP38" s="419"/>
      <c r="AQ38" s="217"/>
      <c r="AR38" s="1"/>
    </row>
    <row r="39" spans="1:59" s="209" customFormat="1" ht="15" customHeight="1" x14ac:dyDescent="0.25">
      <c r="A39" s="420">
        <v>17</v>
      </c>
      <c r="B39" s="432">
        <v>1948103</v>
      </c>
      <c r="C39" s="434" t="s">
        <v>315</v>
      </c>
      <c r="D39" s="424" t="s">
        <v>584</v>
      </c>
      <c r="E39" s="426">
        <v>31</v>
      </c>
      <c r="F39" s="428">
        <f t="shared" ref="F39" si="14">E39*7500</f>
        <v>232500</v>
      </c>
      <c r="G39" s="414"/>
      <c r="H39" s="414"/>
      <c r="I39" s="416"/>
      <c r="J39" s="162"/>
      <c r="K39" s="139"/>
      <c r="L39" s="418"/>
      <c r="M39" s="414"/>
      <c r="N39" s="414"/>
      <c r="O39" s="416"/>
      <c r="P39" s="162"/>
      <c r="Q39" s="139"/>
      <c r="R39" s="418"/>
      <c r="S39" s="414"/>
      <c r="T39" s="414"/>
      <c r="U39" s="416"/>
      <c r="V39" s="162"/>
      <c r="W39" s="139"/>
      <c r="X39" s="418"/>
      <c r="Y39" s="414"/>
      <c r="Z39" s="414"/>
      <c r="AA39" s="416"/>
      <c r="AB39" s="162"/>
      <c r="AC39" s="139"/>
      <c r="AD39" s="418"/>
      <c r="AE39" s="414" t="s">
        <v>533</v>
      </c>
      <c r="AF39" s="414" t="s">
        <v>561</v>
      </c>
      <c r="AG39" s="416" t="s">
        <v>42</v>
      </c>
      <c r="AH39" s="162">
        <v>0</v>
      </c>
      <c r="AI39" s="139" t="s">
        <v>5</v>
      </c>
      <c r="AJ39" s="418">
        <v>10000</v>
      </c>
      <c r="AK39" s="414" t="s">
        <v>533</v>
      </c>
      <c r="AL39" s="414" t="s">
        <v>561</v>
      </c>
      <c r="AM39" s="416" t="s">
        <v>42</v>
      </c>
      <c r="AN39" s="162">
        <v>8.5500000000000007</v>
      </c>
      <c r="AO39" s="139" t="s">
        <v>5</v>
      </c>
      <c r="AP39" s="418">
        <f>115767-AJ39</f>
        <v>105767</v>
      </c>
      <c r="AQ39" s="217"/>
      <c r="AR39" s="209">
        <f>J39+P39+V39+AB39+AH39+AN39</f>
        <v>8.5500000000000007</v>
      </c>
    </row>
    <row r="40" spans="1:59" s="209" customFormat="1" ht="15" customHeight="1" x14ac:dyDescent="0.25">
      <c r="A40" s="421"/>
      <c r="B40" s="433"/>
      <c r="C40" s="435"/>
      <c r="D40" s="425"/>
      <c r="E40" s="427"/>
      <c r="F40" s="429"/>
      <c r="G40" s="415"/>
      <c r="H40" s="415"/>
      <c r="I40" s="417"/>
      <c r="J40" s="162"/>
      <c r="K40" s="139"/>
      <c r="L40" s="419"/>
      <c r="M40" s="415"/>
      <c r="N40" s="415"/>
      <c r="O40" s="417"/>
      <c r="P40" s="162"/>
      <c r="Q40" s="139"/>
      <c r="R40" s="419"/>
      <c r="S40" s="415"/>
      <c r="T40" s="415"/>
      <c r="U40" s="417"/>
      <c r="V40" s="162"/>
      <c r="W40" s="139"/>
      <c r="X40" s="419"/>
      <c r="Y40" s="415"/>
      <c r="Z40" s="415"/>
      <c r="AA40" s="417"/>
      <c r="AB40" s="162"/>
      <c r="AC40" s="139"/>
      <c r="AD40" s="419"/>
      <c r="AE40" s="415"/>
      <c r="AF40" s="415"/>
      <c r="AG40" s="417"/>
      <c r="AH40" s="162">
        <f>AH39*7500</f>
        <v>0</v>
      </c>
      <c r="AI40" s="139" t="s">
        <v>8</v>
      </c>
      <c r="AJ40" s="419"/>
      <c r="AK40" s="415"/>
      <c r="AL40" s="415"/>
      <c r="AM40" s="417"/>
      <c r="AN40" s="162">
        <f>AN39*7500</f>
        <v>64125.000000000007</v>
      </c>
      <c r="AO40" s="139" t="s">
        <v>8</v>
      </c>
      <c r="AP40" s="419"/>
      <c r="AQ40" s="217"/>
      <c r="AR40" s="1"/>
    </row>
    <row r="41" spans="1:59" s="209" customFormat="1" ht="15" customHeight="1" x14ac:dyDescent="0.25">
      <c r="A41" s="420">
        <v>18</v>
      </c>
      <c r="B41" s="432">
        <v>1948158</v>
      </c>
      <c r="C41" s="434" t="s">
        <v>568</v>
      </c>
      <c r="D41" s="424" t="s">
        <v>587</v>
      </c>
      <c r="E41" s="426">
        <v>58</v>
      </c>
      <c r="F41" s="428">
        <f t="shared" ref="F41" si="15">E41*7500</f>
        <v>435000</v>
      </c>
      <c r="G41" s="414"/>
      <c r="H41" s="414"/>
      <c r="I41" s="416"/>
      <c r="J41" s="162"/>
      <c r="K41" s="139"/>
      <c r="L41" s="418"/>
      <c r="M41" s="414"/>
      <c r="N41" s="414"/>
      <c r="O41" s="416"/>
      <c r="P41" s="162"/>
      <c r="Q41" s="139"/>
      <c r="R41" s="418"/>
      <c r="S41" s="414"/>
      <c r="T41" s="414"/>
      <c r="U41" s="416"/>
      <c r="V41" s="162"/>
      <c r="W41" s="139"/>
      <c r="X41" s="418"/>
      <c r="Y41" s="414"/>
      <c r="Z41" s="414"/>
      <c r="AA41" s="416"/>
      <c r="AB41" s="162"/>
      <c r="AC41" s="139"/>
      <c r="AD41" s="418"/>
      <c r="AE41" s="414" t="s">
        <v>569</v>
      </c>
      <c r="AF41" s="414" t="s">
        <v>139</v>
      </c>
      <c r="AG41" s="416" t="s">
        <v>42</v>
      </c>
      <c r="AH41" s="162">
        <v>0</v>
      </c>
      <c r="AI41" s="139" t="s">
        <v>5</v>
      </c>
      <c r="AJ41" s="418">
        <f>150000/2</f>
        <v>75000</v>
      </c>
      <c r="AK41" s="414" t="s">
        <v>569</v>
      </c>
      <c r="AL41" s="414" t="s">
        <v>139</v>
      </c>
      <c r="AM41" s="416" t="s">
        <v>42</v>
      </c>
      <c r="AN41" s="162">
        <v>6</v>
      </c>
      <c r="AO41" s="139" t="s">
        <v>5</v>
      </c>
      <c r="AP41" s="418">
        <f>150000/2</f>
        <v>75000</v>
      </c>
      <c r="AQ41" s="217"/>
      <c r="AR41" s="209">
        <f>J41+P41+V41+AB41+AH41+AN41</f>
        <v>6</v>
      </c>
    </row>
    <row r="42" spans="1:59" s="209" customFormat="1" ht="15" customHeight="1" x14ac:dyDescent="0.25">
      <c r="A42" s="421"/>
      <c r="B42" s="433"/>
      <c r="C42" s="435"/>
      <c r="D42" s="425"/>
      <c r="E42" s="427"/>
      <c r="F42" s="429"/>
      <c r="G42" s="415"/>
      <c r="H42" s="415"/>
      <c r="I42" s="417"/>
      <c r="J42" s="162"/>
      <c r="K42" s="139"/>
      <c r="L42" s="419"/>
      <c r="M42" s="415"/>
      <c r="N42" s="415"/>
      <c r="O42" s="417"/>
      <c r="P42" s="162"/>
      <c r="Q42" s="139"/>
      <c r="R42" s="419"/>
      <c r="S42" s="415"/>
      <c r="T42" s="415"/>
      <c r="U42" s="417"/>
      <c r="V42" s="162"/>
      <c r="W42" s="139"/>
      <c r="X42" s="419"/>
      <c r="Y42" s="415"/>
      <c r="Z42" s="415"/>
      <c r="AA42" s="417"/>
      <c r="AB42" s="162"/>
      <c r="AC42" s="139"/>
      <c r="AD42" s="419"/>
      <c r="AE42" s="415"/>
      <c r="AF42" s="415"/>
      <c r="AG42" s="417"/>
      <c r="AH42" s="162">
        <f>AH41*7500</f>
        <v>0</v>
      </c>
      <c r="AI42" s="139" t="s">
        <v>8</v>
      </c>
      <c r="AJ42" s="419"/>
      <c r="AK42" s="415"/>
      <c r="AL42" s="415"/>
      <c r="AM42" s="417"/>
      <c r="AN42" s="162">
        <f>AN41*7500</f>
        <v>45000</v>
      </c>
      <c r="AO42" s="139" t="s">
        <v>8</v>
      </c>
      <c r="AP42" s="419"/>
      <c r="AQ42" s="217"/>
      <c r="AR42" s="1"/>
    </row>
    <row r="43" spans="1:59" s="209" customFormat="1" ht="15" customHeight="1" x14ac:dyDescent="0.25">
      <c r="A43" s="420">
        <v>19</v>
      </c>
      <c r="B43" s="432">
        <v>1948127</v>
      </c>
      <c r="C43" s="434" t="s">
        <v>329</v>
      </c>
      <c r="D43" s="424" t="s">
        <v>589</v>
      </c>
      <c r="E43" s="426">
        <v>126</v>
      </c>
      <c r="F43" s="428">
        <f t="shared" ref="F43" si="16">E43*7500</f>
        <v>945000</v>
      </c>
      <c r="G43" s="414"/>
      <c r="H43" s="414"/>
      <c r="I43" s="416"/>
      <c r="J43" s="162"/>
      <c r="K43" s="139"/>
      <c r="L43" s="418"/>
      <c r="M43" s="414"/>
      <c r="N43" s="414"/>
      <c r="O43" s="416"/>
      <c r="P43" s="162"/>
      <c r="Q43" s="139"/>
      <c r="R43" s="418"/>
      <c r="S43" s="414"/>
      <c r="T43" s="414"/>
      <c r="U43" s="416"/>
      <c r="V43" s="162"/>
      <c r="W43" s="139"/>
      <c r="X43" s="418"/>
      <c r="Y43" s="414"/>
      <c r="Z43" s="414"/>
      <c r="AA43" s="416"/>
      <c r="AB43" s="162"/>
      <c r="AC43" s="139"/>
      <c r="AD43" s="418"/>
      <c r="AE43" s="414" t="s">
        <v>546</v>
      </c>
      <c r="AF43" s="414" t="s">
        <v>573</v>
      </c>
      <c r="AG43" s="416" t="s">
        <v>42</v>
      </c>
      <c r="AH43" s="162">
        <v>0</v>
      </c>
      <c r="AI43" s="139" t="s">
        <v>5</v>
      </c>
      <c r="AJ43" s="418">
        <v>20000</v>
      </c>
      <c r="AK43" s="414" t="s">
        <v>546</v>
      </c>
      <c r="AL43" s="414" t="s">
        <v>573</v>
      </c>
      <c r="AM43" s="416" t="s">
        <v>42</v>
      </c>
      <c r="AN43" s="162">
        <v>8</v>
      </c>
      <c r="AO43" s="139" t="s">
        <v>5</v>
      </c>
      <c r="AP43" s="418">
        <f>200000-AJ43</f>
        <v>180000</v>
      </c>
      <c r="AQ43" s="217"/>
      <c r="AR43" s="209">
        <f>J43+P43+V43+AB43+AH43+AN43</f>
        <v>8</v>
      </c>
    </row>
    <row r="44" spans="1:59" s="209" customFormat="1" ht="15" customHeight="1" x14ac:dyDescent="0.25">
      <c r="A44" s="421"/>
      <c r="B44" s="433"/>
      <c r="C44" s="435"/>
      <c r="D44" s="425"/>
      <c r="E44" s="427"/>
      <c r="F44" s="429"/>
      <c r="G44" s="415"/>
      <c r="H44" s="415"/>
      <c r="I44" s="417"/>
      <c r="J44" s="162"/>
      <c r="K44" s="139"/>
      <c r="L44" s="419"/>
      <c r="M44" s="415"/>
      <c r="N44" s="415"/>
      <c r="O44" s="417"/>
      <c r="P44" s="162"/>
      <c r="Q44" s="139"/>
      <c r="R44" s="419"/>
      <c r="S44" s="415"/>
      <c r="T44" s="415"/>
      <c r="U44" s="417"/>
      <c r="V44" s="162"/>
      <c r="W44" s="139"/>
      <c r="X44" s="419"/>
      <c r="Y44" s="415"/>
      <c r="Z44" s="415"/>
      <c r="AA44" s="417"/>
      <c r="AB44" s="162"/>
      <c r="AC44" s="139"/>
      <c r="AD44" s="419"/>
      <c r="AE44" s="415"/>
      <c r="AF44" s="415"/>
      <c r="AG44" s="417"/>
      <c r="AH44" s="162">
        <f>AH43*7500</f>
        <v>0</v>
      </c>
      <c r="AI44" s="139" t="s">
        <v>8</v>
      </c>
      <c r="AJ44" s="419"/>
      <c r="AK44" s="415"/>
      <c r="AL44" s="415"/>
      <c r="AM44" s="417"/>
      <c r="AN44" s="162">
        <f>AN43*7500</f>
        <v>60000</v>
      </c>
      <c r="AO44" s="139" t="s">
        <v>8</v>
      </c>
      <c r="AP44" s="419"/>
      <c r="AQ44" s="217"/>
      <c r="AR44" s="1"/>
    </row>
    <row r="45" spans="1:59" s="209" customFormat="1" ht="15" customHeight="1" x14ac:dyDescent="0.25">
      <c r="A45" s="420">
        <v>20</v>
      </c>
      <c r="B45" s="432">
        <v>1948107</v>
      </c>
      <c r="C45" s="434" t="s">
        <v>565</v>
      </c>
      <c r="D45" s="424" t="s">
        <v>585</v>
      </c>
      <c r="E45" s="426">
        <v>7.2</v>
      </c>
      <c r="F45" s="428">
        <f t="shared" ref="F45" si="17">E45*7500</f>
        <v>54000</v>
      </c>
      <c r="G45" s="414"/>
      <c r="H45" s="414"/>
      <c r="I45" s="416"/>
      <c r="J45" s="162"/>
      <c r="K45" s="139"/>
      <c r="L45" s="418"/>
      <c r="M45" s="414"/>
      <c r="N45" s="414"/>
      <c r="O45" s="416"/>
      <c r="P45" s="162"/>
      <c r="Q45" s="139"/>
      <c r="R45" s="418"/>
      <c r="S45" s="414"/>
      <c r="T45" s="414"/>
      <c r="U45" s="416"/>
      <c r="V45" s="162"/>
      <c r="W45" s="139"/>
      <c r="X45" s="418"/>
      <c r="Y45" s="414"/>
      <c r="Z45" s="414"/>
      <c r="AA45" s="416"/>
      <c r="AB45" s="162"/>
      <c r="AC45" s="139"/>
      <c r="AD45" s="418"/>
      <c r="AE45" s="414"/>
      <c r="AF45" s="414"/>
      <c r="AG45" s="416"/>
      <c r="AH45" s="162"/>
      <c r="AI45" s="139"/>
      <c r="AJ45" s="418"/>
      <c r="AK45" s="414" t="s">
        <v>145</v>
      </c>
      <c r="AL45" s="414" t="s">
        <v>566</v>
      </c>
      <c r="AM45" s="416" t="s">
        <v>11</v>
      </c>
      <c r="AN45" s="162">
        <v>7.2</v>
      </c>
      <c r="AO45" s="139" t="s">
        <v>5</v>
      </c>
      <c r="AP45" s="418">
        <v>100993.03200000001</v>
      </c>
      <c r="AQ45" s="217"/>
      <c r="AR45" s="209">
        <f>J45+P45+V45+AB45+AH45+AN45</f>
        <v>7.2</v>
      </c>
    </row>
    <row r="46" spans="1:59" s="209" customFormat="1" ht="15" customHeight="1" x14ac:dyDescent="0.25">
      <c r="A46" s="421"/>
      <c r="B46" s="433"/>
      <c r="C46" s="435"/>
      <c r="D46" s="425"/>
      <c r="E46" s="427"/>
      <c r="F46" s="429"/>
      <c r="G46" s="415"/>
      <c r="H46" s="415"/>
      <c r="I46" s="417"/>
      <c r="J46" s="162"/>
      <c r="K46" s="139"/>
      <c r="L46" s="419"/>
      <c r="M46" s="415"/>
      <c r="N46" s="415"/>
      <c r="O46" s="417"/>
      <c r="P46" s="162"/>
      <c r="Q46" s="139"/>
      <c r="R46" s="419"/>
      <c r="S46" s="415"/>
      <c r="T46" s="415"/>
      <c r="U46" s="417"/>
      <c r="V46" s="162"/>
      <c r="W46" s="139"/>
      <c r="X46" s="419"/>
      <c r="Y46" s="415"/>
      <c r="Z46" s="415"/>
      <c r="AA46" s="417"/>
      <c r="AB46" s="162"/>
      <c r="AC46" s="139"/>
      <c r="AD46" s="419"/>
      <c r="AE46" s="415"/>
      <c r="AF46" s="415"/>
      <c r="AG46" s="417"/>
      <c r="AH46" s="162"/>
      <c r="AI46" s="139"/>
      <c r="AJ46" s="419"/>
      <c r="AK46" s="415"/>
      <c r="AL46" s="415"/>
      <c r="AM46" s="417"/>
      <c r="AN46" s="162">
        <f>AN45*7500</f>
        <v>54000</v>
      </c>
      <c r="AO46" s="139" t="s">
        <v>8</v>
      </c>
      <c r="AP46" s="419"/>
      <c r="AQ46" s="217"/>
      <c r="AR46" s="1"/>
    </row>
    <row r="47" spans="1:59" s="209" customFormat="1" ht="55.15" customHeight="1" x14ac:dyDescent="0.25">
      <c r="A47" s="204">
        <v>21</v>
      </c>
      <c r="B47" s="154"/>
      <c r="C47" s="387" t="s">
        <v>788</v>
      </c>
      <c r="D47" s="386"/>
      <c r="E47" s="373"/>
      <c r="F47" s="374"/>
      <c r="G47" s="370"/>
      <c r="H47" s="370"/>
      <c r="I47" s="371"/>
      <c r="J47" s="162"/>
      <c r="K47" s="139"/>
      <c r="L47" s="372">
        <v>74115</v>
      </c>
      <c r="M47" s="370"/>
      <c r="N47" s="370"/>
      <c r="O47" s="371"/>
      <c r="P47" s="162"/>
      <c r="Q47" s="139"/>
      <c r="R47" s="372">
        <v>64720</v>
      </c>
      <c r="S47" s="370"/>
      <c r="T47" s="370"/>
      <c r="U47" s="371"/>
      <c r="V47" s="162"/>
      <c r="W47" s="139"/>
      <c r="X47" s="372">
        <v>30020</v>
      </c>
      <c r="Y47" s="370"/>
      <c r="Z47" s="370"/>
      <c r="AA47" s="371"/>
      <c r="AB47" s="162"/>
      <c r="AC47" s="139"/>
      <c r="AD47" s="372">
        <v>14400</v>
      </c>
      <c r="AE47" s="370"/>
      <c r="AF47" s="370"/>
      <c r="AG47" s="371"/>
      <c r="AH47" s="162"/>
      <c r="AI47" s="139"/>
      <c r="AJ47" s="372">
        <v>14400</v>
      </c>
      <c r="AK47" s="370"/>
      <c r="AL47" s="370"/>
      <c r="AM47" s="371"/>
      <c r="AN47" s="162"/>
      <c r="AO47" s="139"/>
      <c r="AP47" s="372">
        <v>14400</v>
      </c>
      <c r="AQ47" s="217"/>
      <c r="AR47" s="1"/>
    </row>
    <row r="48" spans="1:59" s="94" customFormat="1" ht="38.25" customHeight="1" x14ac:dyDescent="0.2">
      <c r="A48" s="436" t="s">
        <v>10</v>
      </c>
      <c r="B48" s="437"/>
      <c r="C48" s="437"/>
      <c r="D48" s="437"/>
      <c r="E48" s="99"/>
      <c r="F48" s="99"/>
      <c r="G48" s="99"/>
      <c r="H48" s="99"/>
      <c r="I48" s="99"/>
      <c r="J48" s="191">
        <f>J7+J9+J11+J13+J17+J15+J19+J23+J21+J25+J31+J33+J29+J39+J45+J35+J41+J37+J43+J27</f>
        <v>26.317</v>
      </c>
      <c r="K48" s="99"/>
      <c r="L48" s="181">
        <f>L7+L9+L11+L13+L17+L15+L19+L23+L21+L25+L31+L33+L29+L39+L45+L35+L41+L37+L43+L27+L47</f>
        <v>314545.09999999998</v>
      </c>
      <c r="M48" s="99"/>
      <c r="N48" s="191"/>
      <c r="O48" s="99"/>
      <c r="P48" s="191">
        <f>P7+P9+P11+P13+P17+P15+P19+P23+P21+P25+P31+P33+P29+P39+P45+P35+P41+P37+P43+P27</f>
        <v>4</v>
      </c>
      <c r="Q48" s="99"/>
      <c r="R48" s="265">
        <f>R7+R9+R11+R13+R17+R15+R19+R23+R21+R25+R31+R33+R29+R39+R45+R35+R41+R37+R43+R27+R47</f>
        <v>254279.99966666664</v>
      </c>
      <c r="S48" s="99"/>
      <c r="T48" s="191"/>
      <c r="U48" s="99"/>
      <c r="V48" s="191">
        <f>V7+V9+V11+V13+V17+V15+V19+V23+V21+V25+V31+V33+V29+V39+V45+V35+V41+V37+V43+V27</f>
        <v>18.16</v>
      </c>
      <c r="W48" s="99"/>
      <c r="X48" s="265">
        <f>X7+X9+X11+X13+X17+X15+X19+X23+X21+X25+X31+X33+X29+X39+X45+X35+X41+X37+X43+X27+X47</f>
        <v>367589.99966666667</v>
      </c>
      <c r="Y48" s="99"/>
      <c r="Z48" s="191"/>
      <c r="AA48" s="99"/>
      <c r="AB48" s="191">
        <f>AB7+AB9+AB11+AB13+AB17+AB15+AB19+AB23+AB21+AB25+AB31+AB33+AB29+AB39+AB45+AB35+AB41+AB37+AB43+AB27</f>
        <v>14</v>
      </c>
      <c r="AC48" s="99"/>
      <c r="AD48" s="265">
        <f>AD7+AD9+AD11+AD13+AD17+AD15+AD19+AD23+AD21+AD25+AD31+AD33+AD29+AD39+AD45+AD35+AD41+AD37+AD43+AD27+AD47</f>
        <v>424662</v>
      </c>
      <c r="AE48" s="99"/>
      <c r="AF48" s="191"/>
      <c r="AG48" s="99"/>
      <c r="AH48" s="191">
        <f>AH7+AH9+AH11+AH13+AH17+AH15+AH19+AH23+AH21+AH25+AH31+AH33+AH29+AH39+AH45+AH35+AH41+AH37+AH43+AH27</f>
        <v>20.3</v>
      </c>
      <c r="AI48" s="99"/>
      <c r="AJ48" s="191">
        <f>AJ7+AJ9+AJ11+AJ13+AJ17+AJ15+AJ19+AJ23+AJ21+AJ25+AJ31+AJ33+AJ29+AJ39+AJ45+AJ35+AJ41+AJ37+AJ43+AJ27+AJ47</f>
        <v>420720.0303333333</v>
      </c>
      <c r="AK48" s="99"/>
      <c r="AL48" s="191"/>
      <c r="AM48" s="99"/>
      <c r="AN48" s="191">
        <f>AN7+AN9+AN11+AN13+AN17+AN15+AN19+AN23+AN21+AN25+AN31+AN33+AN29+AN39+AN45+AN35+AN41+AN37+AN43+AN27</f>
        <v>71.650000000000006</v>
      </c>
      <c r="AO48" s="99"/>
      <c r="AP48" s="265">
        <f>AP7+AP9+AP11+AP13+AP17+AP15+AP19+AP23+AP21+AP25+AP31+AP33+AP29+AP39+AP45+AP35+AP41+AP37+AP43+AP27+AP47</f>
        <v>861900</v>
      </c>
      <c r="AQ48" s="191"/>
      <c r="AR48" s="191">
        <f>SUM(AR7:AR46)</f>
        <v>154.42699999999999</v>
      </c>
      <c r="AS48" s="210"/>
      <c r="AT48" s="211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</row>
    <row r="49" spans="1:43" x14ac:dyDescent="0.25">
      <c r="A49" s="438" t="s">
        <v>10</v>
      </c>
      <c r="B49" s="439"/>
      <c r="C49" s="439"/>
      <c r="D49" s="439"/>
      <c r="E49" s="439"/>
      <c r="F49" s="439"/>
      <c r="G49" s="439"/>
      <c r="H49" s="439"/>
      <c r="I49" s="444" t="s">
        <v>11</v>
      </c>
      <c r="J49" s="13">
        <f>J7+J9+J11+J13</f>
        <v>26.317</v>
      </c>
      <c r="K49" s="13" t="s">
        <v>5</v>
      </c>
      <c r="L49" s="182">
        <f>L7+L9+L11+L13</f>
        <v>240430.1</v>
      </c>
      <c r="M49" s="58"/>
      <c r="N49" s="14"/>
      <c r="O49" s="444" t="s">
        <v>11</v>
      </c>
      <c r="P49" s="13"/>
      <c r="Q49" s="13" t="s">
        <v>5</v>
      </c>
      <c r="R49" s="488"/>
      <c r="S49" s="15"/>
      <c r="T49" s="14"/>
      <c r="U49" s="444" t="s">
        <v>11</v>
      </c>
      <c r="V49" s="13">
        <f>V7</f>
        <v>2.66</v>
      </c>
      <c r="W49" s="13" t="s">
        <v>5</v>
      </c>
      <c r="X49" s="266">
        <f>X7</f>
        <v>20000</v>
      </c>
      <c r="Y49" s="16"/>
      <c r="Z49" s="14"/>
      <c r="AA49" s="444" t="s">
        <v>11</v>
      </c>
      <c r="AB49" s="13"/>
      <c r="AC49" s="13" t="s">
        <v>5</v>
      </c>
      <c r="AD49" s="266"/>
      <c r="AE49" s="16"/>
      <c r="AF49" s="14"/>
      <c r="AG49" s="444" t="s">
        <v>11</v>
      </c>
      <c r="AH49" s="13">
        <f>AH45</f>
        <v>0</v>
      </c>
      <c r="AI49" s="13" t="s">
        <v>5</v>
      </c>
      <c r="AJ49" s="182">
        <f>AJ45</f>
        <v>0</v>
      </c>
      <c r="AK49" s="16"/>
      <c r="AL49" s="14"/>
      <c r="AM49" s="444" t="s">
        <v>11</v>
      </c>
      <c r="AN49" s="13">
        <f>AN45+AN27</f>
        <v>7.2</v>
      </c>
      <c r="AO49" s="13" t="s">
        <v>5</v>
      </c>
      <c r="AP49" s="266">
        <f>AP45+AP27</f>
        <v>100993.03200000001</v>
      </c>
      <c r="AQ49" s="13"/>
    </row>
    <row r="50" spans="1:43" x14ac:dyDescent="0.25">
      <c r="A50" s="440"/>
      <c r="B50" s="441"/>
      <c r="C50" s="441"/>
      <c r="D50" s="441"/>
      <c r="E50" s="441"/>
      <c r="F50" s="441"/>
      <c r="G50" s="441"/>
      <c r="H50" s="441"/>
      <c r="I50" s="445"/>
      <c r="J50" s="13">
        <f>J8+J10+J12+J14</f>
        <v>197377.5</v>
      </c>
      <c r="K50" s="13" t="s">
        <v>8</v>
      </c>
      <c r="L50" s="182"/>
      <c r="M50" s="56"/>
      <c r="N50" s="17"/>
      <c r="O50" s="445"/>
      <c r="P50" s="13"/>
      <c r="Q50" s="13" t="s">
        <v>8</v>
      </c>
      <c r="R50" s="489"/>
      <c r="S50" s="18"/>
      <c r="T50" s="17"/>
      <c r="U50" s="445"/>
      <c r="V50" s="13">
        <f>V8</f>
        <v>19950</v>
      </c>
      <c r="W50" s="13" t="s">
        <v>8</v>
      </c>
      <c r="X50" s="266"/>
      <c r="Y50" s="19"/>
      <c r="Z50" s="17"/>
      <c r="AA50" s="445"/>
      <c r="AB50" s="13"/>
      <c r="AC50" s="13" t="s">
        <v>8</v>
      </c>
      <c r="AD50" s="266"/>
      <c r="AE50" s="19"/>
      <c r="AF50" s="17"/>
      <c r="AG50" s="445"/>
      <c r="AH50" s="13">
        <f>AH46</f>
        <v>0</v>
      </c>
      <c r="AI50" s="13" t="s">
        <v>8</v>
      </c>
      <c r="AJ50" s="182"/>
      <c r="AK50" s="19"/>
      <c r="AL50" s="17"/>
      <c r="AM50" s="445"/>
      <c r="AN50" s="13">
        <f>AN46+AN28</f>
        <v>54000</v>
      </c>
      <c r="AO50" s="13" t="s">
        <v>8</v>
      </c>
      <c r="AP50" s="266"/>
      <c r="AQ50" s="13"/>
    </row>
    <row r="51" spans="1:43" x14ac:dyDescent="0.25">
      <c r="A51" s="440"/>
      <c r="B51" s="441"/>
      <c r="C51" s="441"/>
      <c r="D51" s="441"/>
      <c r="E51" s="441"/>
      <c r="F51" s="441"/>
      <c r="G51" s="441"/>
      <c r="H51" s="441"/>
      <c r="I51" s="444" t="s">
        <v>41</v>
      </c>
      <c r="J51" s="13"/>
      <c r="K51" s="13" t="s">
        <v>5</v>
      </c>
      <c r="L51" s="182"/>
      <c r="M51" s="56"/>
      <c r="N51" s="17"/>
      <c r="O51" s="444" t="s">
        <v>41</v>
      </c>
      <c r="P51" s="13">
        <f>P13</f>
        <v>2</v>
      </c>
      <c r="Q51" s="13" t="s">
        <v>5</v>
      </c>
      <c r="R51" s="488">
        <f>R13</f>
        <v>40000</v>
      </c>
      <c r="S51" s="18"/>
      <c r="T51" s="17"/>
      <c r="U51" s="444" t="s">
        <v>41</v>
      </c>
      <c r="V51" s="13">
        <f>V13</f>
        <v>0</v>
      </c>
      <c r="W51" s="13" t="s">
        <v>5</v>
      </c>
      <c r="X51" s="266">
        <f>X13</f>
        <v>0</v>
      </c>
      <c r="Y51" s="19"/>
      <c r="Z51" s="17"/>
      <c r="AA51" s="444" t="s">
        <v>41</v>
      </c>
      <c r="AB51" s="13"/>
      <c r="AC51" s="13" t="s">
        <v>5</v>
      </c>
      <c r="AD51" s="266"/>
      <c r="AE51" s="19"/>
      <c r="AF51" s="17"/>
      <c r="AG51" s="444" t="s">
        <v>41</v>
      </c>
      <c r="AH51" s="13"/>
      <c r="AI51" s="13" t="s">
        <v>5</v>
      </c>
      <c r="AJ51" s="182"/>
      <c r="AK51" s="19"/>
      <c r="AL51" s="17"/>
      <c r="AM51" s="444" t="s">
        <v>41</v>
      </c>
      <c r="AN51" s="13"/>
      <c r="AO51" s="13" t="s">
        <v>5</v>
      </c>
      <c r="AP51" s="266"/>
      <c r="AQ51" s="13"/>
    </row>
    <row r="52" spans="1:43" x14ac:dyDescent="0.25">
      <c r="A52" s="440"/>
      <c r="B52" s="441"/>
      <c r="C52" s="441"/>
      <c r="D52" s="441"/>
      <c r="E52" s="441"/>
      <c r="F52" s="441"/>
      <c r="G52" s="441"/>
      <c r="H52" s="441"/>
      <c r="I52" s="445"/>
      <c r="J52" s="13"/>
      <c r="K52" s="13" t="s">
        <v>8</v>
      </c>
      <c r="L52" s="182"/>
      <c r="M52" s="56"/>
      <c r="N52" s="17"/>
      <c r="O52" s="445"/>
      <c r="P52" s="13">
        <f>P14</f>
        <v>15000</v>
      </c>
      <c r="Q52" s="13" t="s">
        <v>8</v>
      </c>
      <c r="R52" s="489"/>
      <c r="S52" s="18"/>
      <c r="T52" s="17"/>
      <c r="U52" s="445"/>
      <c r="V52" s="13">
        <f>V14</f>
        <v>0</v>
      </c>
      <c r="W52" s="13" t="s">
        <v>8</v>
      </c>
      <c r="X52" s="266"/>
      <c r="Y52" s="19"/>
      <c r="Z52" s="17"/>
      <c r="AA52" s="445"/>
      <c r="AB52" s="13"/>
      <c r="AC52" s="13" t="s">
        <v>8</v>
      </c>
      <c r="AD52" s="266"/>
      <c r="AE52" s="19"/>
      <c r="AF52" s="17"/>
      <c r="AG52" s="445"/>
      <c r="AH52" s="13"/>
      <c r="AI52" s="13" t="s">
        <v>8</v>
      </c>
      <c r="AJ52" s="182"/>
      <c r="AK52" s="19"/>
      <c r="AL52" s="17"/>
      <c r="AM52" s="445"/>
      <c r="AN52" s="13"/>
      <c r="AO52" s="13" t="s">
        <v>8</v>
      </c>
      <c r="AP52" s="266"/>
      <c r="AQ52" s="13"/>
    </row>
    <row r="53" spans="1:43" x14ac:dyDescent="0.25">
      <c r="A53" s="440"/>
      <c r="B53" s="441"/>
      <c r="C53" s="441"/>
      <c r="D53" s="441"/>
      <c r="E53" s="441"/>
      <c r="F53" s="441"/>
      <c r="G53" s="441"/>
      <c r="H53" s="441"/>
      <c r="I53" s="444" t="s">
        <v>42</v>
      </c>
      <c r="J53" s="13"/>
      <c r="K53" s="13" t="s">
        <v>5</v>
      </c>
      <c r="L53" s="182"/>
      <c r="M53" s="56"/>
      <c r="N53" s="17"/>
      <c r="O53" s="444" t="s">
        <v>42</v>
      </c>
      <c r="P53" s="13">
        <v>0</v>
      </c>
      <c r="Q53" s="13" t="s">
        <v>5</v>
      </c>
      <c r="R53" s="488">
        <f>R15+R17+R19+R21</f>
        <v>149559.99966666667</v>
      </c>
      <c r="S53" s="18"/>
      <c r="T53" s="17"/>
      <c r="U53" s="444" t="s">
        <v>42</v>
      </c>
      <c r="V53" s="13">
        <f>V17+V19+V23+V21+V25+V29</f>
        <v>13.5</v>
      </c>
      <c r="W53" s="13" t="s">
        <v>5</v>
      </c>
      <c r="X53" s="266">
        <f>X17+X19+X23+X21+X25+X29</f>
        <v>267569.99966666667</v>
      </c>
      <c r="Y53" s="19"/>
      <c r="Z53" s="17"/>
      <c r="AA53" s="444" t="s">
        <v>42</v>
      </c>
      <c r="AB53" s="13">
        <f>AB21+AB29+AB31+AB33+AB35+AB37</f>
        <v>14</v>
      </c>
      <c r="AC53" s="13" t="s">
        <v>5</v>
      </c>
      <c r="AD53" s="266">
        <f>AD21+AD29+AD31+AD33+AD35+AD37</f>
        <v>410262</v>
      </c>
      <c r="AE53" s="19"/>
      <c r="AF53" s="17"/>
      <c r="AG53" s="444" t="s">
        <v>42</v>
      </c>
      <c r="AH53" s="13">
        <f>AH29+AH31+AH33+AH35+AH37+AH39+AH41+AH43</f>
        <v>20.3</v>
      </c>
      <c r="AI53" s="13" t="s">
        <v>5</v>
      </c>
      <c r="AJ53" s="264">
        <f>AJ29+AJ31+AJ33+AJ35+AJ37+AJ39+AJ41+AJ43</f>
        <v>406320.0303333333</v>
      </c>
      <c r="AK53" s="19"/>
      <c r="AL53" s="17"/>
      <c r="AM53" s="444" t="s">
        <v>42</v>
      </c>
      <c r="AN53" s="13">
        <f>AN33+AN35+AN39+AN41+AN37+AN43</f>
        <v>64.449999999999989</v>
      </c>
      <c r="AO53" s="13" t="s">
        <v>5</v>
      </c>
      <c r="AP53" s="266">
        <f>AP33+AP35+AP39+AP41+AP37+AP43</f>
        <v>746506.96799999988</v>
      </c>
      <c r="AQ53" s="13"/>
    </row>
    <row r="54" spans="1:43" x14ac:dyDescent="0.25">
      <c r="A54" s="440"/>
      <c r="B54" s="441"/>
      <c r="C54" s="441"/>
      <c r="D54" s="441"/>
      <c r="E54" s="441"/>
      <c r="F54" s="441"/>
      <c r="G54" s="441"/>
      <c r="H54" s="441"/>
      <c r="I54" s="445"/>
      <c r="J54" s="13"/>
      <c r="K54" s="13" t="s">
        <v>8</v>
      </c>
      <c r="L54" s="182"/>
      <c r="M54" s="56"/>
      <c r="N54" s="17"/>
      <c r="O54" s="445"/>
      <c r="P54" s="13">
        <v>0</v>
      </c>
      <c r="Q54" s="13" t="s">
        <v>8</v>
      </c>
      <c r="R54" s="489"/>
      <c r="S54" s="18"/>
      <c r="T54" s="17"/>
      <c r="U54" s="445"/>
      <c r="V54" s="13">
        <f>V18+V20+V24+V22+V26+V30</f>
        <v>101250</v>
      </c>
      <c r="W54" s="13" t="s">
        <v>8</v>
      </c>
      <c r="X54" s="220"/>
      <c r="Y54" s="19"/>
      <c r="Z54" s="17"/>
      <c r="AA54" s="445"/>
      <c r="AB54" s="13">
        <f>AB22+AB30+AB32+AB34+AB36+AB38</f>
        <v>105000</v>
      </c>
      <c r="AC54" s="13" t="s">
        <v>8</v>
      </c>
      <c r="AD54" s="266"/>
      <c r="AE54" s="19"/>
      <c r="AF54" s="17"/>
      <c r="AG54" s="445"/>
      <c r="AH54" s="13">
        <f>AH30+AH32+AH34+AH36+AH38+AH40+AH42+AH44</f>
        <v>152250</v>
      </c>
      <c r="AI54" s="13" t="s">
        <v>8</v>
      </c>
      <c r="AJ54" s="182"/>
      <c r="AK54" s="19"/>
      <c r="AL54" s="17"/>
      <c r="AM54" s="445"/>
      <c r="AN54" s="13">
        <f>AN34+AN36+AN40+AN42+AN38+AN44</f>
        <v>483375</v>
      </c>
      <c r="AO54" s="13" t="s">
        <v>8</v>
      </c>
      <c r="AP54" s="266"/>
      <c r="AQ54" s="13"/>
    </row>
    <row r="55" spans="1:43" x14ac:dyDescent="0.25">
      <c r="A55" s="440"/>
      <c r="B55" s="441"/>
      <c r="C55" s="441"/>
      <c r="D55" s="441"/>
      <c r="E55" s="441"/>
      <c r="F55" s="441"/>
      <c r="G55" s="441"/>
      <c r="H55" s="441"/>
      <c r="I55" s="444" t="s">
        <v>43</v>
      </c>
      <c r="J55" s="13"/>
      <c r="K55" s="13" t="s">
        <v>5</v>
      </c>
      <c r="L55" s="182"/>
      <c r="M55" s="56"/>
      <c r="N55" s="17"/>
      <c r="O55" s="444" t="s">
        <v>43</v>
      </c>
      <c r="P55" s="13"/>
      <c r="Q55" s="13" t="s">
        <v>5</v>
      </c>
      <c r="R55" s="182"/>
      <c r="S55" s="18"/>
      <c r="T55" s="17"/>
      <c r="U55" s="444" t="s">
        <v>43</v>
      </c>
      <c r="V55" s="13"/>
      <c r="W55" s="13" t="s">
        <v>5</v>
      </c>
      <c r="X55" s="182"/>
      <c r="Y55" s="19"/>
      <c r="Z55" s="17"/>
      <c r="AA55" s="444" t="s">
        <v>43</v>
      </c>
      <c r="AB55" s="13"/>
      <c r="AC55" s="13" t="s">
        <v>5</v>
      </c>
      <c r="AD55" s="182"/>
      <c r="AE55" s="19"/>
      <c r="AF55" s="17"/>
      <c r="AG55" s="444" t="s">
        <v>43</v>
      </c>
      <c r="AH55" s="13"/>
      <c r="AI55" s="13" t="s">
        <v>5</v>
      </c>
      <c r="AJ55" s="182"/>
      <c r="AK55" s="19"/>
      <c r="AL55" s="17"/>
      <c r="AM55" s="444" t="s">
        <v>43</v>
      </c>
      <c r="AN55" s="13"/>
      <c r="AO55" s="13" t="s">
        <v>5</v>
      </c>
      <c r="AP55" s="182"/>
      <c r="AQ55" s="13"/>
    </row>
    <row r="56" spans="1:43" x14ac:dyDescent="0.25">
      <c r="A56" s="440"/>
      <c r="B56" s="441"/>
      <c r="C56" s="441"/>
      <c r="D56" s="441"/>
      <c r="E56" s="441"/>
      <c r="F56" s="441"/>
      <c r="G56" s="441"/>
      <c r="H56" s="441"/>
      <c r="I56" s="445"/>
      <c r="J56" s="13"/>
      <c r="K56" s="13" t="s">
        <v>8</v>
      </c>
      <c r="L56" s="182"/>
      <c r="M56" s="56"/>
      <c r="N56" s="17"/>
      <c r="O56" s="445"/>
      <c r="P56" s="13"/>
      <c r="Q56" s="13" t="s">
        <v>8</v>
      </c>
      <c r="R56" s="182"/>
      <c r="S56" s="18"/>
      <c r="T56" s="17"/>
      <c r="U56" s="445"/>
      <c r="V56" s="13"/>
      <c r="W56" s="13" t="s">
        <v>8</v>
      </c>
      <c r="X56" s="182"/>
      <c r="Y56" s="19"/>
      <c r="Z56" s="17"/>
      <c r="AA56" s="445"/>
      <c r="AB56" s="13"/>
      <c r="AC56" s="13" t="s">
        <v>8</v>
      </c>
      <c r="AD56" s="182"/>
      <c r="AE56" s="19"/>
      <c r="AF56" s="17"/>
      <c r="AG56" s="445"/>
      <c r="AH56" s="13"/>
      <c r="AI56" s="13" t="s">
        <v>8</v>
      </c>
      <c r="AJ56" s="182"/>
      <c r="AK56" s="19"/>
      <c r="AL56" s="17"/>
      <c r="AM56" s="445"/>
      <c r="AN56" s="13"/>
      <c r="AO56" s="13" t="s">
        <v>8</v>
      </c>
      <c r="AP56" s="182"/>
      <c r="AQ56" s="13"/>
    </row>
    <row r="57" spans="1:43" x14ac:dyDescent="0.25">
      <c r="A57" s="440"/>
      <c r="B57" s="441"/>
      <c r="C57" s="441"/>
      <c r="D57" s="441"/>
      <c r="E57" s="441"/>
      <c r="F57" s="441"/>
      <c r="G57" s="441"/>
      <c r="H57" s="441"/>
      <c r="I57" s="444" t="s">
        <v>12</v>
      </c>
      <c r="J57" s="13">
        <v>2631.7</v>
      </c>
      <c r="K57" s="13" t="s">
        <v>8</v>
      </c>
      <c r="L57" s="448">
        <v>921</v>
      </c>
      <c r="M57" s="56"/>
      <c r="N57" s="17"/>
      <c r="O57" s="444" t="s">
        <v>12</v>
      </c>
      <c r="P57" s="13">
        <f>(P51+P49)*0.1*3*100</f>
        <v>60.000000000000007</v>
      </c>
      <c r="Q57" s="13" t="s">
        <v>8</v>
      </c>
      <c r="R57" s="448">
        <f>P58*22</f>
        <v>44</v>
      </c>
      <c r="S57" s="18"/>
      <c r="T57" s="17"/>
      <c r="U57" s="446" t="s">
        <v>12</v>
      </c>
      <c r="V57" s="13"/>
      <c r="W57" s="13" t="s">
        <v>8</v>
      </c>
      <c r="X57" s="448"/>
      <c r="Y57" s="19"/>
      <c r="Z57" s="17"/>
      <c r="AA57" s="446" t="s">
        <v>12</v>
      </c>
      <c r="AB57" s="13">
        <f>10.5*1000*0.1</f>
        <v>1050</v>
      </c>
      <c r="AC57" s="13" t="s">
        <v>8</v>
      </c>
      <c r="AD57" s="448">
        <f>10.5*22</f>
        <v>231</v>
      </c>
      <c r="AE57" s="19"/>
      <c r="AF57" s="17"/>
      <c r="AG57" s="446" t="s">
        <v>12</v>
      </c>
      <c r="AH57" s="13">
        <f>20.3*0.75*0.1*1000</f>
        <v>1522.5000000000002</v>
      </c>
      <c r="AI57" s="13" t="s">
        <v>8</v>
      </c>
      <c r="AJ57" s="448">
        <f>20.3*0.75*22*3</f>
        <v>1004.8500000000001</v>
      </c>
      <c r="AK57" s="19"/>
      <c r="AL57" s="17"/>
      <c r="AM57" s="446" t="s">
        <v>12</v>
      </c>
      <c r="AN57" s="13">
        <f>(AN49+AN53)*0.1*1000*0.75</f>
        <v>5373.7499999999991</v>
      </c>
      <c r="AO57" s="13" t="s">
        <v>8</v>
      </c>
      <c r="AP57" s="448">
        <f>AN58*26</f>
        <v>4191.5249999999996</v>
      </c>
      <c r="AQ57" s="13"/>
    </row>
    <row r="58" spans="1:43" x14ac:dyDescent="0.25">
      <c r="A58" s="440"/>
      <c r="B58" s="441"/>
      <c r="C58" s="441"/>
      <c r="D58" s="441"/>
      <c r="E58" s="441"/>
      <c r="F58" s="441"/>
      <c r="G58" s="441"/>
      <c r="H58" s="441"/>
      <c r="I58" s="445"/>
      <c r="J58" s="13">
        <v>26.317</v>
      </c>
      <c r="K58" s="13" t="s">
        <v>5</v>
      </c>
      <c r="L58" s="449"/>
      <c r="M58" s="56"/>
      <c r="N58" s="17"/>
      <c r="O58" s="445"/>
      <c r="P58" s="13">
        <f>P51+P49</f>
        <v>2</v>
      </c>
      <c r="Q58" s="13" t="s">
        <v>5</v>
      </c>
      <c r="R58" s="449"/>
      <c r="S58" s="18"/>
      <c r="T58" s="17"/>
      <c r="U58" s="447"/>
      <c r="V58" s="13"/>
      <c r="W58" s="13" t="s">
        <v>5</v>
      </c>
      <c r="X58" s="449"/>
      <c r="Y58" s="19"/>
      <c r="Z58" s="17"/>
      <c r="AA58" s="447"/>
      <c r="AB58" s="13">
        <f>14*0.75</f>
        <v>10.5</v>
      </c>
      <c r="AC58" s="13" t="s">
        <v>5</v>
      </c>
      <c r="AD58" s="449"/>
      <c r="AE58" s="19"/>
      <c r="AF58" s="17"/>
      <c r="AG58" s="447"/>
      <c r="AH58" s="13">
        <f>20.3*0.75*3</f>
        <v>45.675000000000004</v>
      </c>
      <c r="AI58" s="13" t="s">
        <v>5</v>
      </c>
      <c r="AJ58" s="449"/>
      <c r="AK58" s="19"/>
      <c r="AL58" s="17"/>
      <c r="AM58" s="447"/>
      <c r="AN58" s="13">
        <f>(AN49+AN53)*0.75*3</f>
        <v>161.21249999999998</v>
      </c>
      <c r="AO58" s="13" t="s">
        <v>5</v>
      </c>
      <c r="AP58" s="449"/>
      <c r="AQ58" s="13"/>
    </row>
    <row r="59" spans="1:43" ht="42.75" x14ac:dyDescent="0.25">
      <c r="A59" s="440"/>
      <c r="B59" s="441"/>
      <c r="C59" s="441"/>
      <c r="D59" s="441"/>
      <c r="E59" s="441"/>
      <c r="F59" s="441"/>
      <c r="G59" s="441"/>
      <c r="H59" s="441"/>
      <c r="I59" s="12" t="s">
        <v>13</v>
      </c>
      <c r="J59" s="13"/>
      <c r="K59" s="13" t="s">
        <v>14</v>
      </c>
      <c r="L59" s="13"/>
      <c r="M59" s="56"/>
      <c r="N59" s="17"/>
      <c r="O59" s="12" t="s">
        <v>13</v>
      </c>
      <c r="P59" s="13"/>
      <c r="Q59" s="13" t="s">
        <v>14</v>
      </c>
      <c r="R59" s="13"/>
      <c r="S59" s="18"/>
      <c r="T59" s="17"/>
      <c r="U59" s="12" t="s">
        <v>13</v>
      </c>
      <c r="V59" s="13"/>
      <c r="W59" s="13" t="s">
        <v>14</v>
      </c>
      <c r="X59" s="13"/>
      <c r="Y59" s="19"/>
      <c r="Z59" s="17"/>
      <c r="AA59" s="12" t="s">
        <v>13</v>
      </c>
      <c r="AB59" s="13"/>
      <c r="AC59" s="13" t="s">
        <v>14</v>
      </c>
      <c r="AD59" s="13"/>
      <c r="AE59" s="19"/>
      <c r="AF59" s="17"/>
      <c r="AG59" s="12" t="s">
        <v>13</v>
      </c>
      <c r="AH59" s="13"/>
      <c r="AI59" s="13" t="s">
        <v>14</v>
      </c>
      <c r="AJ59" s="13"/>
      <c r="AK59" s="19"/>
      <c r="AL59" s="17"/>
      <c r="AM59" s="12" t="s">
        <v>13</v>
      </c>
      <c r="AN59" s="13"/>
      <c r="AO59" s="13" t="s">
        <v>14</v>
      </c>
      <c r="AP59" s="13"/>
      <c r="AQ59" s="13"/>
    </row>
    <row r="60" spans="1:43" ht="28.5" x14ac:dyDescent="0.25">
      <c r="A60" s="440"/>
      <c r="B60" s="441"/>
      <c r="C60" s="441"/>
      <c r="D60" s="441"/>
      <c r="E60" s="441"/>
      <c r="F60" s="441"/>
      <c r="G60" s="441"/>
      <c r="H60" s="441"/>
      <c r="I60" s="12" t="s">
        <v>44</v>
      </c>
      <c r="J60" s="13">
        <v>32</v>
      </c>
      <c r="K60" s="13" t="s">
        <v>14</v>
      </c>
      <c r="L60" s="13">
        <v>0.35199999999999998</v>
      </c>
      <c r="M60" s="56"/>
      <c r="N60" s="17"/>
      <c r="O60" s="12" t="s">
        <v>44</v>
      </c>
      <c r="P60" s="13">
        <v>24</v>
      </c>
      <c r="Q60" s="13" t="s">
        <v>14</v>
      </c>
      <c r="R60" s="13">
        <f>24*11</f>
        <v>264</v>
      </c>
      <c r="S60" s="18"/>
      <c r="T60" s="17"/>
      <c r="U60" s="12" t="s">
        <v>44</v>
      </c>
      <c r="V60" s="13">
        <v>144</v>
      </c>
      <c r="W60" s="13" t="s">
        <v>14</v>
      </c>
      <c r="X60" s="190">
        <f>144*11.5</f>
        <v>1656</v>
      </c>
      <c r="Y60" s="19"/>
      <c r="Z60" s="17"/>
      <c r="AA60" s="12" t="s">
        <v>44</v>
      </c>
      <c r="AB60" s="13">
        <v>22</v>
      </c>
      <c r="AC60" s="13" t="s">
        <v>14</v>
      </c>
      <c r="AD60" s="13">
        <f>22*11</f>
        <v>242</v>
      </c>
      <c r="AE60" s="19"/>
      <c r="AF60" s="17"/>
      <c r="AG60" s="12" t="s">
        <v>44</v>
      </c>
      <c r="AH60" s="13">
        <v>55</v>
      </c>
      <c r="AI60" s="13" t="s">
        <v>14</v>
      </c>
      <c r="AJ60" s="13">
        <f>55*11</f>
        <v>605</v>
      </c>
      <c r="AK60" s="19"/>
      <c r="AL60" s="17"/>
      <c r="AM60" s="12" t="s">
        <v>44</v>
      </c>
      <c r="AN60" s="13">
        <v>112</v>
      </c>
      <c r="AO60" s="13" t="s">
        <v>14</v>
      </c>
      <c r="AP60" s="13">
        <f>112*11</f>
        <v>1232</v>
      </c>
      <c r="AQ60" s="13"/>
    </row>
    <row r="61" spans="1:43" ht="42.75" x14ac:dyDescent="0.25">
      <c r="A61" s="440"/>
      <c r="B61" s="441"/>
      <c r="C61" s="441"/>
      <c r="D61" s="441"/>
      <c r="E61" s="441"/>
      <c r="F61" s="441"/>
      <c r="G61" s="441"/>
      <c r="H61" s="441"/>
      <c r="I61" s="12" t="s">
        <v>15</v>
      </c>
      <c r="J61" s="13"/>
      <c r="K61" s="13" t="s">
        <v>16</v>
      </c>
      <c r="L61" s="13"/>
      <c r="M61" s="56"/>
      <c r="N61" s="17"/>
      <c r="O61" s="12" t="s">
        <v>15</v>
      </c>
      <c r="P61" s="13"/>
      <c r="Q61" s="13" t="s">
        <v>16</v>
      </c>
      <c r="R61" s="13"/>
      <c r="S61" s="18"/>
      <c r="T61" s="17"/>
      <c r="U61" s="12" t="s">
        <v>15</v>
      </c>
      <c r="V61" s="13"/>
      <c r="W61" s="13" t="s">
        <v>16</v>
      </c>
      <c r="X61" s="13"/>
      <c r="Y61" s="19"/>
      <c r="Z61" s="17"/>
      <c r="AA61" s="12" t="s">
        <v>15</v>
      </c>
      <c r="AB61" s="13"/>
      <c r="AC61" s="13" t="s">
        <v>16</v>
      </c>
      <c r="AD61" s="13"/>
      <c r="AE61" s="19"/>
      <c r="AF61" s="17"/>
      <c r="AG61" s="12" t="s">
        <v>15</v>
      </c>
      <c r="AH61" s="13"/>
      <c r="AI61" s="13" t="s">
        <v>16</v>
      </c>
      <c r="AJ61" s="13"/>
      <c r="AK61" s="19"/>
      <c r="AL61" s="17"/>
      <c r="AM61" s="12" t="s">
        <v>15</v>
      </c>
      <c r="AN61" s="13"/>
      <c r="AO61" s="13" t="s">
        <v>16</v>
      </c>
      <c r="AP61" s="13"/>
      <c r="AQ61" s="13"/>
    </row>
    <row r="62" spans="1:43" x14ac:dyDescent="0.25">
      <c r="A62" s="440"/>
      <c r="B62" s="441"/>
      <c r="C62" s="441"/>
      <c r="D62" s="441"/>
      <c r="E62" s="441"/>
      <c r="F62" s="441"/>
      <c r="G62" s="441"/>
      <c r="H62" s="441"/>
      <c r="I62" s="12" t="s">
        <v>17</v>
      </c>
      <c r="J62" s="13"/>
      <c r="K62" s="13" t="s">
        <v>8</v>
      </c>
      <c r="L62" s="13"/>
      <c r="M62" s="56"/>
      <c r="N62" s="17"/>
      <c r="O62" s="12" t="s">
        <v>17</v>
      </c>
      <c r="P62" s="13"/>
      <c r="Q62" s="13" t="s">
        <v>8</v>
      </c>
      <c r="R62" s="13"/>
      <c r="S62" s="18"/>
      <c r="T62" s="17"/>
      <c r="U62" s="12" t="s">
        <v>17</v>
      </c>
      <c r="V62" s="13"/>
      <c r="W62" s="13" t="s">
        <v>8</v>
      </c>
      <c r="X62" s="13"/>
      <c r="Y62" s="19"/>
      <c r="Z62" s="17"/>
      <c r="AA62" s="12" t="s">
        <v>17</v>
      </c>
      <c r="AB62" s="13"/>
      <c r="AC62" s="13" t="s">
        <v>8</v>
      </c>
      <c r="AD62" s="13"/>
      <c r="AE62" s="19"/>
      <c r="AF62" s="17"/>
      <c r="AG62" s="12" t="s">
        <v>17</v>
      </c>
      <c r="AH62" s="13"/>
      <c r="AI62" s="13" t="s">
        <v>8</v>
      </c>
      <c r="AJ62" s="13"/>
      <c r="AK62" s="19"/>
      <c r="AL62" s="17"/>
      <c r="AM62" s="12" t="s">
        <v>17</v>
      </c>
      <c r="AN62" s="13"/>
      <c r="AO62" s="13" t="s">
        <v>8</v>
      </c>
      <c r="AP62" s="13"/>
      <c r="AQ62" s="13"/>
    </row>
    <row r="63" spans="1:43" ht="28.5" x14ac:dyDescent="0.25">
      <c r="A63" s="440"/>
      <c r="B63" s="441"/>
      <c r="C63" s="441"/>
      <c r="D63" s="441"/>
      <c r="E63" s="441"/>
      <c r="F63" s="441"/>
      <c r="G63" s="441"/>
      <c r="H63" s="441"/>
      <c r="I63" s="12" t="s">
        <v>18</v>
      </c>
      <c r="J63" s="13"/>
      <c r="K63" s="13" t="s">
        <v>16</v>
      </c>
      <c r="L63" s="13"/>
      <c r="M63" s="56"/>
      <c r="N63" s="17"/>
      <c r="O63" s="12" t="s">
        <v>18</v>
      </c>
      <c r="P63" s="13"/>
      <c r="Q63" s="13" t="s">
        <v>16</v>
      </c>
      <c r="R63" s="13"/>
      <c r="S63" s="18"/>
      <c r="T63" s="17"/>
      <c r="U63" s="12" t="s">
        <v>18</v>
      </c>
      <c r="V63" s="13"/>
      <c r="W63" s="13" t="s">
        <v>16</v>
      </c>
      <c r="X63" s="13"/>
      <c r="Y63" s="19"/>
      <c r="Z63" s="17"/>
      <c r="AA63" s="12" t="s">
        <v>18</v>
      </c>
      <c r="AB63" s="13"/>
      <c r="AC63" s="13" t="s">
        <v>16</v>
      </c>
      <c r="AD63" s="13"/>
      <c r="AE63" s="19"/>
      <c r="AF63" s="17"/>
      <c r="AG63" s="12" t="s">
        <v>18</v>
      </c>
      <c r="AH63" s="13"/>
      <c r="AI63" s="13" t="s">
        <v>16</v>
      </c>
      <c r="AJ63" s="13"/>
      <c r="AK63" s="19"/>
      <c r="AL63" s="17"/>
      <c r="AM63" s="12" t="s">
        <v>18</v>
      </c>
      <c r="AN63" s="13"/>
      <c r="AO63" s="13" t="s">
        <v>16</v>
      </c>
      <c r="AP63" s="13"/>
      <c r="AQ63" s="13"/>
    </row>
    <row r="64" spans="1:43" ht="50.25" customHeight="1" x14ac:dyDescent="0.25">
      <c r="A64" s="440"/>
      <c r="B64" s="441"/>
      <c r="C64" s="441"/>
      <c r="D64" s="441"/>
      <c r="E64" s="441"/>
      <c r="F64" s="441"/>
      <c r="G64" s="441"/>
      <c r="H64" s="441"/>
      <c r="I64" s="12" t="s">
        <v>46</v>
      </c>
      <c r="J64" s="13"/>
      <c r="K64" s="13" t="s">
        <v>16</v>
      </c>
      <c r="L64" s="13"/>
      <c r="M64" s="56"/>
      <c r="N64" s="57"/>
      <c r="O64" s="12" t="s">
        <v>46</v>
      </c>
      <c r="P64" s="13"/>
      <c r="Q64" s="13" t="s">
        <v>16</v>
      </c>
      <c r="R64" s="13"/>
      <c r="S64" s="57"/>
      <c r="T64" s="57"/>
      <c r="U64" s="12" t="s">
        <v>46</v>
      </c>
      <c r="V64" s="13"/>
      <c r="W64" s="13" t="s">
        <v>16</v>
      </c>
      <c r="X64" s="13"/>
      <c r="Y64" s="57"/>
      <c r="Z64" s="57"/>
      <c r="AA64" s="12" t="s">
        <v>46</v>
      </c>
      <c r="AB64" s="13"/>
      <c r="AC64" s="13" t="s">
        <v>16</v>
      </c>
      <c r="AD64" s="13"/>
      <c r="AE64" s="57"/>
      <c r="AF64" s="57"/>
      <c r="AG64" s="12" t="s">
        <v>46</v>
      </c>
      <c r="AH64" s="13"/>
      <c r="AI64" s="13" t="s">
        <v>16</v>
      </c>
      <c r="AJ64" s="13"/>
      <c r="AK64" s="57"/>
      <c r="AL64" s="57"/>
      <c r="AM64" s="12" t="s">
        <v>46</v>
      </c>
      <c r="AN64" s="13"/>
      <c r="AO64" s="13" t="s">
        <v>16</v>
      </c>
      <c r="AP64" s="13"/>
      <c r="AQ64" s="13"/>
    </row>
    <row r="65" spans="1:43" ht="50.25" customHeight="1" x14ac:dyDescent="0.25">
      <c r="A65" s="440"/>
      <c r="B65" s="441"/>
      <c r="C65" s="441"/>
      <c r="D65" s="441"/>
      <c r="E65" s="441"/>
      <c r="F65" s="441"/>
      <c r="G65" s="441"/>
      <c r="H65" s="441"/>
      <c r="I65" s="12" t="s">
        <v>106</v>
      </c>
      <c r="J65" s="13"/>
      <c r="K65" s="13" t="s">
        <v>8</v>
      </c>
      <c r="L65" s="13"/>
      <c r="M65" s="56"/>
      <c r="N65" s="57"/>
      <c r="O65" s="12" t="s">
        <v>106</v>
      </c>
      <c r="P65" s="13"/>
      <c r="Q65" s="13" t="s">
        <v>8</v>
      </c>
      <c r="R65" s="13"/>
      <c r="S65" s="57"/>
      <c r="T65" s="57"/>
      <c r="U65" s="12" t="s">
        <v>106</v>
      </c>
      <c r="V65" s="13"/>
      <c r="W65" s="13" t="s">
        <v>8</v>
      </c>
      <c r="X65" s="13"/>
      <c r="Y65" s="57"/>
      <c r="Z65" s="57"/>
      <c r="AA65" s="12" t="s">
        <v>106</v>
      </c>
      <c r="AB65" s="13"/>
      <c r="AC65" s="13" t="s">
        <v>8</v>
      </c>
      <c r="AD65" s="13"/>
      <c r="AE65" s="57"/>
      <c r="AF65" s="57"/>
      <c r="AG65" s="12" t="s">
        <v>106</v>
      </c>
      <c r="AH65" s="13"/>
      <c r="AI65" s="13" t="s">
        <v>8</v>
      </c>
      <c r="AJ65" s="13"/>
      <c r="AK65" s="57"/>
      <c r="AL65" s="57"/>
      <c r="AM65" s="12" t="s">
        <v>106</v>
      </c>
      <c r="AN65" s="13"/>
      <c r="AO65" s="13" t="s">
        <v>8</v>
      </c>
      <c r="AP65" s="13"/>
      <c r="AQ65" s="13"/>
    </row>
    <row r="66" spans="1:43" ht="50.25" customHeight="1" x14ac:dyDescent="0.25">
      <c r="A66" s="440"/>
      <c r="B66" s="441"/>
      <c r="C66" s="441"/>
      <c r="D66" s="441"/>
      <c r="E66" s="441"/>
      <c r="F66" s="441"/>
      <c r="G66" s="441"/>
      <c r="H66" s="441"/>
      <c r="I66" s="12" t="s">
        <v>107</v>
      </c>
      <c r="J66" s="13"/>
      <c r="K66" s="13" t="s">
        <v>8</v>
      </c>
      <c r="L66" s="13"/>
      <c r="M66" s="56"/>
      <c r="N66" s="57"/>
      <c r="O66" s="12" t="s">
        <v>107</v>
      </c>
      <c r="P66" s="13"/>
      <c r="Q66" s="13" t="s">
        <v>8</v>
      </c>
      <c r="R66" s="13"/>
      <c r="S66" s="57"/>
      <c r="T66" s="57"/>
      <c r="U66" s="12" t="s">
        <v>107</v>
      </c>
      <c r="V66" s="13"/>
      <c r="W66" s="13" t="s">
        <v>8</v>
      </c>
      <c r="X66" s="13"/>
      <c r="Y66" s="57"/>
      <c r="Z66" s="57"/>
      <c r="AA66" s="12" t="s">
        <v>107</v>
      </c>
      <c r="AB66" s="13"/>
      <c r="AC66" s="13" t="s">
        <v>8</v>
      </c>
      <c r="AD66" s="13"/>
      <c r="AE66" s="57"/>
      <c r="AF66" s="57"/>
      <c r="AG66" s="12" t="s">
        <v>107</v>
      </c>
      <c r="AH66" s="13"/>
      <c r="AI66" s="13" t="s">
        <v>8</v>
      </c>
      <c r="AJ66" s="13"/>
      <c r="AK66" s="57"/>
      <c r="AL66" s="57"/>
      <c r="AM66" s="12" t="s">
        <v>107</v>
      </c>
      <c r="AN66" s="13"/>
      <c r="AO66" s="13" t="s">
        <v>8</v>
      </c>
      <c r="AP66" s="13"/>
      <c r="AQ66" s="13"/>
    </row>
    <row r="67" spans="1:43" ht="50.25" customHeight="1" x14ac:dyDescent="0.25">
      <c r="A67" s="440"/>
      <c r="B67" s="441"/>
      <c r="C67" s="441"/>
      <c r="D67" s="441"/>
      <c r="E67" s="441"/>
      <c r="F67" s="441"/>
      <c r="G67" s="441"/>
      <c r="H67" s="441"/>
      <c r="I67" s="12" t="s">
        <v>108</v>
      </c>
      <c r="J67" s="13"/>
      <c r="K67" s="13" t="s">
        <v>8</v>
      </c>
      <c r="L67" s="13"/>
      <c r="M67" s="56"/>
      <c r="N67" s="57"/>
      <c r="O67" s="12" t="s">
        <v>108</v>
      </c>
      <c r="P67" s="13"/>
      <c r="Q67" s="13" t="s">
        <v>8</v>
      </c>
      <c r="R67" s="13"/>
      <c r="S67" s="57"/>
      <c r="T67" s="57"/>
      <c r="U67" s="12" t="s">
        <v>108</v>
      </c>
      <c r="V67" s="13"/>
      <c r="W67" s="13" t="s">
        <v>8</v>
      </c>
      <c r="X67" s="13"/>
      <c r="Y67" s="57"/>
      <c r="Z67" s="57"/>
      <c r="AA67" s="12" t="s">
        <v>108</v>
      </c>
      <c r="AB67" s="13"/>
      <c r="AC67" s="13" t="s">
        <v>8</v>
      </c>
      <c r="AD67" s="13"/>
      <c r="AE67" s="57"/>
      <c r="AF67" s="57"/>
      <c r="AG67" s="12" t="s">
        <v>108</v>
      </c>
      <c r="AH67" s="13"/>
      <c r="AI67" s="13" t="s">
        <v>8</v>
      </c>
      <c r="AJ67" s="13"/>
      <c r="AK67" s="57"/>
      <c r="AL67" s="57"/>
      <c r="AM67" s="12" t="s">
        <v>108</v>
      </c>
      <c r="AN67" s="13"/>
      <c r="AO67" s="13" t="s">
        <v>8</v>
      </c>
      <c r="AP67" s="13"/>
      <c r="AQ67" s="13"/>
    </row>
    <row r="68" spans="1:43" ht="50.25" customHeight="1" x14ac:dyDescent="0.25">
      <c r="A68" s="440"/>
      <c r="B68" s="441"/>
      <c r="C68" s="441"/>
      <c r="D68" s="441"/>
      <c r="E68" s="441"/>
      <c r="F68" s="441"/>
      <c r="G68" s="441"/>
      <c r="H68" s="441"/>
      <c r="I68" s="12" t="s">
        <v>109</v>
      </c>
      <c r="J68" s="13"/>
      <c r="K68" s="13" t="s">
        <v>14</v>
      </c>
      <c r="L68" s="13"/>
      <c r="M68" s="56"/>
      <c r="N68" s="57"/>
      <c r="O68" s="12" t="s">
        <v>109</v>
      </c>
      <c r="P68" s="13"/>
      <c r="Q68" s="13" t="s">
        <v>14</v>
      </c>
      <c r="R68" s="13"/>
      <c r="S68" s="57"/>
      <c r="T68" s="57"/>
      <c r="U68" s="12" t="s">
        <v>109</v>
      </c>
      <c r="V68" s="13"/>
      <c r="W68" s="13" t="s">
        <v>14</v>
      </c>
      <c r="X68" s="13"/>
      <c r="Y68" s="57"/>
      <c r="Z68" s="57"/>
      <c r="AA68" s="12" t="s">
        <v>109</v>
      </c>
      <c r="AB68" s="13"/>
      <c r="AC68" s="13" t="s">
        <v>14</v>
      </c>
      <c r="AD68" s="13"/>
      <c r="AE68" s="57"/>
      <c r="AF68" s="57"/>
      <c r="AG68" s="12" t="s">
        <v>109</v>
      </c>
      <c r="AH68" s="13"/>
      <c r="AI68" s="13" t="s">
        <v>14</v>
      </c>
      <c r="AJ68" s="13"/>
      <c r="AK68" s="57"/>
      <c r="AL68" s="57"/>
      <c r="AM68" s="12" t="s">
        <v>109</v>
      </c>
      <c r="AN68" s="13"/>
      <c r="AO68" s="13" t="s">
        <v>14</v>
      </c>
      <c r="AP68" s="13"/>
      <c r="AQ68" s="13"/>
    </row>
    <row r="69" spans="1:43" ht="50.25" customHeight="1" x14ac:dyDescent="0.25">
      <c r="A69" s="440"/>
      <c r="B69" s="441"/>
      <c r="C69" s="441"/>
      <c r="D69" s="441"/>
      <c r="E69" s="441"/>
      <c r="F69" s="441"/>
      <c r="G69" s="441"/>
      <c r="H69" s="441"/>
      <c r="I69" s="12" t="s">
        <v>110</v>
      </c>
      <c r="J69" s="13"/>
      <c r="K69" s="13" t="s">
        <v>16</v>
      </c>
      <c r="L69" s="13"/>
      <c r="M69" s="56"/>
      <c r="N69" s="57"/>
      <c r="O69" s="12" t="s">
        <v>110</v>
      </c>
      <c r="P69" s="13"/>
      <c r="Q69" s="13" t="s">
        <v>16</v>
      </c>
      <c r="R69" s="13"/>
      <c r="S69" s="57"/>
      <c r="T69" s="57"/>
      <c r="U69" s="12" t="s">
        <v>110</v>
      </c>
      <c r="V69" s="13"/>
      <c r="W69" s="13" t="s">
        <v>16</v>
      </c>
      <c r="X69" s="13"/>
      <c r="Y69" s="57"/>
      <c r="Z69" s="57"/>
      <c r="AA69" s="12" t="s">
        <v>110</v>
      </c>
      <c r="AB69" s="13"/>
      <c r="AC69" s="13" t="s">
        <v>16</v>
      </c>
      <c r="AD69" s="13"/>
      <c r="AE69" s="57"/>
      <c r="AF69" s="57"/>
      <c r="AG69" s="12" t="s">
        <v>110</v>
      </c>
      <c r="AH69" s="13"/>
      <c r="AI69" s="13" t="s">
        <v>16</v>
      </c>
      <c r="AJ69" s="13"/>
      <c r="AK69" s="57"/>
      <c r="AL69" s="57"/>
      <c r="AM69" s="12" t="s">
        <v>110</v>
      </c>
      <c r="AN69" s="13"/>
      <c r="AO69" s="13" t="s">
        <v>16</v>
      </c>
      <c r="AP69" s="13"/>
      <c r="AQ69" s="13"/>
    </row>
    <row r="70" spans="1:43" ht="66" customHeight="1" x14ac:dyDescent="0.25">
      <c r="A70" s="440"/>
      <c r="B70" s="441"/>
      <c r="C70" s="441"/>
      <c r="D70" s="441"/>
      <c r="E70" s="441"/>
      <c r="F70" s="441"/>
      <c r="G70" s="441"/>
      <c r="H70" s="441"/>
      <c r="I70" s="12" t="s">
        <v>111</v>
      </c>
      <c r="J70" s="13">
        <v>1</v>
      </c>
      <c r="K70" s="13" t="s">
        <v>14</v>
      </c>
      <c r="L70" s="13">
        <v>2500</v>
      </c>
      <c r="M70" s="56"/>
      <c r="N70" s="57"/>
      <c r="O70" s="12" t="s">
        <v>111</v>
      </c>
      <c r="P70" s="13"/>
      <c r="Q70" s="13" t="s">
        <v>14</v>
      </c>
      <c r="R70" s="13"/>
      <c r="S70" s="57"/>
      <c r="T70" s="57"/>
      <c r="U70" s="12" t="s">
        <v>111</v>
      </c>
      <c r="V70" s="13"/>
      <c r="W70" s="13" t="s">
        <v>14</v>
      </c>
      <c r="X70" s="13"/>
      <c r="Y70" s="57"/>
      <c r="Z70" s="57"/>
      <c r="AA70" s="12" t="s">
        <v>111</v>
      </c>
      <c r="AB70" s="13"/>
      <c r="AC70" s="13" t="s">
        <v>14</v>
      </c>
      <c r="AD70" s="13"/>
      <c r="AE70" s="57"/>
      <c r="AF70" s="57"/>
      <c r="AG70" s="12" t="s">
        <v>111</v>
      </c>
      <c r="AH70" s="13"/>
      <c r="AI70" s="13" t="s">
        <v>14</v>
      </c>
      <c r="AJ70" s="13"/>
      <c r="AK70" s="57"/>
      <c r="AL70" s="57"/>
      <c r="AM70" s="12" t="s">
        <v>111</v>
      </c>
      <c r="AN70" s="13"/>
      <c r="AO70" s="13" t="s">
        <v>14</v>
      </c>
      <c r="AP70" s="13"/>
      <c r="AQ70" s="13"/>
    </row>
    <row r="71" spans="1:43" x14ac:dyDescent="0.25">
      <c r="A71" s="442"/>
      <c r="B71" s="443"/>
      <c r="C71" s="443"/>
      <c r="D71" s="443"/>
      <c r="E71" s="443"/>
      <c r="F71" s="443"/>
      <c r="G71" s="443"/>
      <c r="H71" s="443"/>
      <c r="I71" s="12" t="s">
        <v>45</v>
      </c>
      <c r="J71" s="13"/>
      <c r="K71" s="13"/>
      <c r="L71" s="13"/>
      <c r="M71" s="56"/>
      <c r="N71" s="57"/>
      <c r="O71" s="12" t="s">
        <v>45</v>
      </c>
      <c r="P71" s="13"/>
      <c r="Q71" s="13"/>
      <c r="R71" s="13"/>
      <c r="S71" s="57"/>
      <c r="T71" s="57"/>
      <c r="U71" s="12" t="s">
        <v>45</v>
      </c>
      <c r="V71" s="13"/>
      <c r="W71" s="13"/>
      <c r="X71" s="13"/>
      <c r="Y71" s="57"/>
      <c r="Z71" s="57"/>
      <c r="AA71" s="12" t="s">
        <v>45</v>
      </c>
      <c r="AB71" s="13"/>
      <c r="AC71" s="13"/>
      <c r="AD71" s="13"/>
      <c r="AE71" s="57"/>
      <c r="AF71" s="57"/>
      <c r="AG71" s="12" t="s">
        <v>45</v>
      </c>
      <c r="AH71" s="13"/>
      <c r="AI71" s="13"/>
      <c r="AJ71" s="13"/>
      <c r="AK71" s="57"/>
      <c r="AL71" s="57"/>
      <c r="AM71" s="12" t="s">
        <v>45</v>
      </c>
      <c r="AN71" s="13"/>
      <c r="AO71" s="13"/>
      <c r="AP71" s="13"/>
      <c r="AQ71" s="13"/>
    </row>
    <row r="72" spans="1:43" ht="15.75" x14ac:dyDescent="0.25">
      <c r="A72" s="450" t="s">
        <v>19</v>
      </c>
      <c r="B72" s="451"/>
      <c r="C72" s="451"/>
      <c r="D72" s="451"/>
      <c r="E72" s="451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451"/>
      <c r="Z72" s="451"/>
      <c r="AA72" s="451"/>
      <c r="AB72" s="451"/>
      <c r="AC72" s="451"/>
      <c r="AD72" s="451"/>
      <c r="AE72" s="451"/>
      <c r="AF72" s="451"/>
      <c r="AG72" s="451"/>
      <c r="AH72" s="451"/>
      <c r="AI72" s="451"/>
      <c r="AJ72" s="451"/>
      <c r="AK72" s="451"/>
      <c r="AL72" s="451"/>
      <c r="AM72" s="451"/>
      <c r="AN72" s="451"/>
      <c r="AO72" s="451"/>
      <c r="AP72" s="451"/>
      <c r="AQ72" s="452"/>
    </row>
    <row r="73" spans="1:43" ht="15" customHeight="1" x14ac:dyDescent="0.25">
      <c r="A73" s="453" t="s">
        <v>103</v>
      </c>
      <c r="B73" s="454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4"/>
      <c r="Z73" s="454"/>
      <c r="AA73" s="454"/>
      <c r="AB73" s="454"/>
      <c r="AC73" s="454"/>
      <c r="AD73" s="454"/>
      <c r="AE73" s="454"/>
      <c r="AF73" s="454"/>
      <c r="AG73" s="454"/>
      <c r="AH73" s="454"/>
      <c r="AI73" s="454"/>
      <c r="AJ73" s="454"/>
      <c r="AK73" s="454"/>
      <c r="AL73" s="454"/>
      <c r="AM73" s="454"/>
      <c r="AN73" s="454"/>
      <c r="AO73" s="454"/>
      <c r="AP73" s="454"/>
      <c r="AQ73" s="20"/>
    </row>
    <row r="74" spans="1:43" s="366" customFormat="1" ht="15" customHeight="1" x14ac:dyDescent="0.2">
      <c r="A74" s="400">
        <v>1</v>
      </c>
      <c r="B74" s="455">
        <v>1948171</v>
      </c>
      <c r="C74" s="457" t="s">
        <v>167</v>
      </c>
      <c r="D74" s="459" t="s">
        <v>715</v>
      </c>
      <c r="E74" s="394">
        <v>5.032</v>
      </c>
      <c r="F74" s="394">
        <v>70448</v>
      </c>
      <c r="G74" s="394" t="s">
        <v>145</v>
      </c>
      <c r="H74" s="394" t="s">
        <v>168</v>
      </c>
      <c r="I74" s="461" t="s">
        <v>42</v>
      </c>
      <c r="J74" s="204">
        <v>0</v>
      </c>
      <c r="K74" s="22" t="s">
        <v>5</v>
      </c>
      <c r="L74" s="463">
        <v>100000</v>
      </c>
      <c r="M74" s="394" t="s">
        <v>145</v>
      </c>
      <c r="N74" s="394" t="s">
        <v>168</v>
      </c>
      <c r="O74" s="416" t="s">
        <v>42</v>
      </c>
      <c r="P74" s="139">
        <v>5.032</v>
      </c>
      <c r="Q74" s="139" t="s">
        <v>5</v>
      </c>
      <c r="R74" s="463">
        <v>299000</v>
      </c>
      <c r="S74" s="496"/>
      <c r="T74" s="400"/>
      <c r="U74" s="400"/>
      <c r="V74" s="351"/>
      <c r="W74" s="357" t="s">
        <v>5</v>
      </c>
      <c r="X74" s="351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53"/>
      <c r="AK74" s="353"/>
      <c r="AL74" s="353"/>
      <c r="AM74" s="353"/>
      <c r="AN74" s="353"/>
      <c r="AO74" s="353"/>
      <c r="AP74" s="352"/>
      <c r="AQ74" s="365"/>
    </row>
    <row r="75" spans="1:43" s="366" customFormat="1" x14ac:dyDescent="0.2">
      <c r="A75" s="401"/>
      <c r="B75" s="456"/>
      <c r="C75" s="458"/>
      <c r="D75" s="460"/>
      <c r="E75" s="395"/>
      <c r="F75" s="395"/>
      <c r="G75" s="395"/>
      <c r="H75" s="395"/>
      <c r="I75" s="462"/>
      <c r="J75" s="204">
        <v>0</v>
      </c>
      <c r="K75" s="22" t="s">
        <v>8</v>
      </c>
      <c r="L75" s="464"/>
      <c r="M75" s="395"/>
      <c r="N75" s="395"/>
      <c r="O75" s="417"/>
      <c r="P75" s="139">
        <f>P74*14000</f>
        <v>70448</v>
      </c>
      <c r="Q75" s="139" t="s">
        <v>8</v>
      </c>
      <c r="R75" s="464"/>
      <c r="S75" s="497"/>
      <c r="T75" s="401"/>
      <c r="U75" s="401"/>
      <c r="V75" s="353"/>
      <c r="W75" s="358" t="s">
        <v>8</v>
      </c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3"/>
      <c r="AN75" s="353"/>
      <c r="AO75" s="353"/>
      <c r="AP75" s="352"/>
      <c r="AQ75" s="365"/>
    </row>
    <row r="76" spans="1:43" x14ac:dyDescent="0.25">
      <c r="A76" s="400">
        <v>2</v>
      </c>
      <c r="B76" s="392"/>
      <c r="C76" s="396" t="s">
        <v>758</v>
      </c>
      <c r="D76" s="392"/>
      <c r="E76" s="394">
        <v>11</v>
      </c>
      <c r="F76" s="392">
        <f>J77</f>
        <v>77000</v>
      </c>
      <c r="G76" s="394" t="s">
        <v>145</v>
      </c>
      <c r="H76" s="392" t="s">
        <v>759</v>
      </c>
      <c r="I76" s="390" t="s">
        <v>43</v>
      </c>
      <c r="J76" s="337">
        <v>11</v>
      </c>
      <c r="K76" s="22" t="s">
        <v>5</v>
      </c>
      <c r="L76" s="388">
        <v>168621.9</v>
      </c>
      <c r="M76" s="490" t="s">
        <v>759</v>
      </c>
      <c r="N76" s="490" t="s">
        <v>551</v>
      </c>
      <c r="O76" s="416" t="s">
        <v>43</v>
      </c>
      <c r="P76" s="139">
        <v>10</v>
      </c>
      <c r="Q76" s="139" t="s">
        <v>5</v>
      </c>
      <c r="R76" s="494">
        <v>250000</v>
      </c>
      <c r="S76" s="490" t="s">
        <v>551</v>
      </c>
      <c r="T76" s="490" t="s">
        <v>783</v>
      </c>
      <c r="U76" s="416" t="s">
        <v>43</v>
      </c>
      <c r="V76" s="139">
        <v>10</v>
      </c>
      <c r="W76" s="139" t="s">
        <v>5</v>
      </c>
      <c r="X76" s="494">
        <v>250000</v>
      </c>
      <c r="Y76" s="490" t="s">
        <v>783</v>
      </c>
      <c r="Z76" s="490" t="s">
        <v>784</v>
      </c>
      <c r="AA76" s="416" t="s">
        <v>43</v>
      </c>
      <c r="AB76" s="139">
        <v>10</v>
      </c>
      <c r="AC76" s="139" t="s">
        <v>5</v>
      </c>
      <c r="AD76" s="494">
        <v>250000</v>
      </c>
      <c r="AE76" s="490" t="s">
        <v>784</v>
      </c>
      <c r="AF76" s="490" t="s">
        <v>785</v>
      </c>
      <c r="AG76" s="416" t="s">
        <v>43</v>
      </c>
      <c r="AH76" s="139">
        <v>10</v>
      </c>
      <c r="AI76" s="139" t="s">
        <v>5</v>
      </c>
      <c r="AJ76" s="494">
        <v>250000</v>
      </c>
      <c r="AK76" s="490" t="s">
        <v>785</v>
      </c>
      <c r="AL76" s="490" t="s">
        <v>786</v>
      </c>
      <c r="AM76" s="416" t="s">
        <v>43</v>
      </c>
      <c r="AN76" s="139">
        <v>10</v>
      </c>
      <c r="AO76" s="139" t="s">
        <v>5</v>
      </c>
      <c r="AP76" s="494">
        <v>250000</v>
      </c>
      <c r="AQ76" s="20"/>
    </row>
    <row r="77" spans="1:43" x14ac:dyDescent="0.25">
      <c r="A77" s="401"/>
      <c r="B77" s="393"/>
      <c r="C77" s="397"/>
      <c r="D77" s="393"/>
      <c r="E77" s="395"/>
      <c r="F77" s="393"/>
      <c r="G77" s="395"/>
      <c r="H77" s="393"/>
      <c r="I77" s="391"/>
      <c r="J77" s="339">
        <f>J76*7000</f>
        <v>77000</v>
      </c>
      <c r="K77" s="22" t="s">
        <v>8</v>
      </c>
      <c r="L77" s="389"/>
      <c r="M77" s="491"/>
      <c r="N77" s="491"/>
      <c r="O77" s="417"/>
      <c r="P77" s="359">
        <f>P76*7500</f>
        <v>75000</v>
      </c>
      <c r="Q77" s="139" t="s">
        <v>8</v>
      </c>
      <c r="R77" s="495"/>
      <c r="S77" s="491"/>
      <c r="T77" s="491"/>
      <c r="U77" s="417"/>
      <c r="V77" s="359">
        <f>V76*7500</f>
        <v>75000</v>
      </c>
      <c r="W77" s="139" t="s">
        <v>8</v>
      </c>
      <c r="X77" s="495"/>
      <c r="Y77" s="491"/>
      <c r="Z77" s="491"/>
      <c r="AA77" s="417"/>
      <c r="AB77" s="359">
        <f>AB76*7500</f>
        <v>75000</v>
      </c>
      <c r="AC77" s="139" t="s">
        <v>8</v>
      </c>
      <c r="AD77" s="495"/>
      <c r="AE77" s="491"/>
      <c r="AF77" s="491"/>
      <c r="AG77" s="417"/>
      <c r="AH77" s="359">
        <f>AH76*7500</f>
        <v>75000</v>
      </c>
      <c r="AI77" s="139" t="s">
        <v>8</v>
      </c>
      <c r="AJ77" s="495"/>
      <c r="AK77" s="491"/>
      <c r="AL77" s="491"/>
      <c r="AM77" s="417"/>
      <c r="AN77" s="359">
        <f>AN76*7500</f>
        <v>75000</v>
      </c>
      <c r="AO77" s="139" t="s">
        <v>8</v>
      </c>
      <c r="AP77" s="495"/>
      <c r="AQ77" s="20"/>
    </row>
    <row r="78" spans="1:43" ht="13.9" customHeight="1" x14ac:dyDescent="0.25">
      <c r="A78" s="400">
        <v>3</v>
      </c>
      <c r="B78" s="398">
        <v>1948154</v>
      </c>
      <c r="C78" s="396" t="s">
        <v>760</v>
      </c>
      <c r="D78" s="392" t="s">
        <v>761</v>
      </c>
      <c r="E78" s="394">
        <v>4</v>
      </c>
      <c r="F78" s="392">
        <v>56000</v>
      </c>
      <c r="G78" s="394" t="s">
        <v>145</v>
      </c>
      <c r="H78" s="392" t="s">
        <v>762</v>
      </c>
      <c r="I78" s="390" t="s">
        <v>42</v>
      </c>
      <c r="J78" s="355">
        <v>0</v>
      </c>
      <c r="K78" s="22" t="s">
        <v>5</v>
      </c>
      <c r="L78" s="388">
        <v>156592.20000000001</v>
      </c>
      <c r="M78" s="490" t="s">
        <v>145</v>
      </c>
      <c r="N78" s="490" t="s">
        <v>762</v>
      </c>
      <c r="O78" s="416" t="s">
        <v>42</v>
      </c>
      <c r="P78" s="359">
        <v>4</v>
      </c>
      <c r="Q78" s="139" t="s">
        <v>5</v>
      </c>
      <c r="R78" s="498">
        <v>310000</v>
      </c>
      <c r="S78" s="11"/>
      <c r="T78" s="358"/>
      <c r="U78" s="353"/>
      <c r="V78" s="353"/>
      <c r="W78" s="353"/>
      <c r="X78" s="353"/>
      <c r="Y78" s="353"/>
      <c r="Z78" s="353"/>
      <c r="AA78" s="353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3"/>
      <c r="AM78" s="353"/>
      <c r="AN78" s="353"/>
      <c r="AO78" s="353"/>
      <c r="AP78" s="352"/>
      <c r="AQ78" s="20"/>
    </row>
    <row r="79" spans="1:43" x14ac:dyDescent="0.25">
      <c r="A79" s="401"/>
      <c r="B79" s="399"/>
      <c r="C79" s="397"/>
      <c r="D79" s="393"/>
      <c r="E79" s="395"/>
      <c r="F79" s="393"/>
      <c r="G79" s="395"/>
      <c r="H79" s="393"/>
      <c r="I79" s="391"/>
      <c r="J79" s="355">
        <f>J78*14000</f>
        <v>0</v>
      </c>
      <c r="K79" s="22" t="s">
        <v>8</v>
      </c>
      <c r="L79" s="389"/>
      <c r="M79" s="491"/>
      <c r="N79" s="491"/>
      <c r="O79" s="417"/>
      <c r="P79" s="359">
        <v>56000</v>
      </c>
      <c r="Q79" s="139" t="s">
        <v>8</v>
      </c>
      <c r="R79" s="499"/>
      <c r="S79" s="11"/>
      <c r="T79" s="358"/>
      <c r="U79" s="353"/>
      <c r="V79" s="353"/>
      <c r="W79" s="353"/>
      <c r="X79" s="353"/>
      <c r="Y79" s="353"/>
      <c r="Z79" s="353"/>
      <c r="AA79" s="353"/>
      <c r="AB79" s="353"/>
      <c r="AC79" s="353"/>
      <c r="AD79" s="353"/>
      <c r="AE79" s="353"/>
      <c r="AF79" s="353"/>
      <c r="AG79" s="353"/>
      <c r="AH79" s="353"/>
      <c r="AI79" s="353"/>
      <c r="AJ79" s="353"/>
      <c r="AK79" s="353"/>
      <c r="AL79" s="353"/>
      <c r="AM79" s="353"/>
      <c r="AN79" s="353"/>
      <c r="AO79" s="353"/>
      <c r="AP79" s="352"/>
      <c r="AQ79" s="20"/>
    </row>
    <row r="80" spans="1:43" x14ac:dyDescent="0.25">
      <c r="A80" s="400">
        <v>4</v>
      </c>
      <c r="B80" s="398">
        <v>1948092</v>
      </c>
      <c r="C80" s="396" t="s">
        <v>768</v>
      </c>
      <c r="D80" s="392" t="s">
        <v>773</v>
      </c>
      <c r="E80" s="394">
        <v>12.45</v>
      </c>
      <c r="F80" s="392">
        <f t="shared" ref="F80" si="18">J81</f>
        <v>87150</v>
      </c>
      <c r="G80" s="394" t="s">
        <v>145</v>
      </c>
      <c r="H80" s="392" t="s">
        <v>770</v>
      </c>
      <c r="I80" s="390" t="s">
        <v>42</v>
      </c>
      <c r="J80" s="355">
        <v>12.45</v>
      </c>
      <c r="K80" s="22" t="s">
        <v>5</v>
      </c>
      <c r="L80" s="388">
        <v>61173.8</v>
      </c>
      <c r="M80" s="400"/>
      <c r="N80" s="400"/>
      <c r="O80" s="400"/>
      <c r="P80" s="359"/>
      <c r="Q80" s="353"/>
      <c r="R80" s="465"/>
      <c r="S80" s="11"/>
      <c r="T80" s="353"/>
      <c r="U80" s="353"/>
      <c r="V80" s="353"/>
      <c r="W80" s="353"/>
      <c r="X80" s="353"/>
      <c r="Y80" s="353"/>
      <c r="Z80" s="353"/>
      <c r="AA80" s="353"/>
      <c r="AB80" s="353"/>
      <c r="AC80" s="353"/>
      <c r="AD80" s="353"/>
      <c r="AE80" s="353"/>
      <c r="AF80" s="353"/>
      <c r="AG80" s="353"/>
      <c r="AH80" s="353"/>
      <c r="AI80" s="353"/>
      <c r="AJ80" s="353"/>
      <c r="AK80" s="353"/>
      <c r="AL80" s="353"/>
      <c r="AM80" s="353"/>
      <c r="AN80" s="353"/>
      <c r="AO80" s="353"/>
      <c r="AP80" s="352"/>
      <c r="AQ80" s="20"/>
    </row>
    <row r="81" spans="1:43" x14ac:dyDescent="0.25">
      <c r="A81" s="401"/>
      <c r="B81" s="399"/>
      <c r="C81" s="397"/>
      <c r="D81" s="393"/>
      <c r="E81" s="395"/>
      <c r="F81" s="393"/>
      <c r="G81" s="395"/>
      <c r="H81" s="393"/>
      <c r="I81" s="391"/>
      <c r="J81" s="355">
        <f>J80*7000</f>
        <v>87150</v>
      </c>
      <c r="K81" s="22" t="s">
        <v>8</v>
      </c>
      <c r="L81" s="389"/>
      <c r="M81" s="401"/>
      <c r="N81" s="401"/>
      <c r="O81" s="401"/>
      <c r="P81" s="353"/>
      <c r="Q81" s="353"/>
      <c r="R81" s="466"/>
      <c r="S81" s="11"/>
      <c r="T81" s="353"/>
      <c r="U81" s="353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353"/>
      <c r="AJ81" s="353"/>
      <c r="AK81" s="353"/>
      <c r="AL81" s="353"/>
      <c r="AM81" s="353"/>
      <c r="AN81" s="353"/>
      <c r="AO81" s="353"/>
      <c r="AP81" s="352"/>
      <c r="AQ81" s="20"/>
    </row>
    <row r="82" spans="1:43" x14ac:dyDescent="0.25">
      <c r="A82" s="400">
        <v>5</v>
      </c>
      <c r="B82" s="398">
        <v>1948120</v>
      </c>
      <c r="C82" s="396" t="s">
        <v>769</v>
      </c>
      <c r="D82" s="392" t="s">
        <v>706</v>
      </c>
      <c r="E82" s="394">
        <v>5.46</v>
      </c>
      <c r="F82" s="392">
        <f t="shared" ref="F82" si="19">J83</f>
        <v>38220</v>
      </c>
      <c r="G82" s="394" t="s">
        <v>771</v>
      </c>
      <c r="H82" s="392" t="s">
        <v>772</v>
      </c>
      <c r="I82" s="390" t="s">
        <v>42</v>
      </c>
      <c r="J82" s="355">
        <v>5.46</v>
      </c>
      <c r="K82" s="22" t="s">
        <v>5</v>
      </c>
      <c r="L82" s="388">
        <v>61173.8</v>
      </c>
      <c r="M82" s="400"/>
      <c r="N82" s="400"/>
      <c r="O82" s="400"/>
      <c r="P82" s="353"/>
      <c r="Q82" s="353"/>
      <c r="R82" s="465"/>
      <c r="S82" s="11"/>
      <c r="T82" s="353"/>
      <c r="U82" s="353"/>
      <c r="V82" s="353"/>
      <c r="W82" s="353"/>
      <c r="X82" s="353"/>
      <c r="Y82" s="353"/>
      <c r="Z82" s="353"/>
      <c r="AA82" s="353"/>
      <c r="AB82" s="353"/>
      <c r="AC82" s="353"/>
      <c r="AD82" s="353"/>
      <c r="AE82" s="353"/>
      <c r="AF82" s="353"/>
      <c r="AG82" s="353"/>
      <c r="AH82" s="353"/>
      <c r="AI82" s="353"/>
      <c r="AJ82" s="353"/>
      <c r="AK82" s="353"/>
      <c r="AL82" s="353"/>
      <c r="AM82" s="353"/>
      <c r="AN82" s="353"/>
      <c r="AO82" s="353"/>
      <c r="AP82" s="352"/>
      <c r="AQ82" s="20"/>
    </row>
    <row r="83" spans="1:43" x14ac:dyDescent="0.25">
      <c r="A83" s="401"/>
      <c r="B83" s="399"/>
      <c r="C83" s="397"/>
      <c r="D83" s="393"/>
      <c r="E83" s="395"/>
      <c r="F83" s="393"/>
      <c r="G83" s="395"/>
      <c r="H83" s="393"/>
      <c r="I83" s="391"/>
      <c r="J83" s="355">
        <f>J82*7000</f>
        <v>38220</v>
      </c>
      <c r="K83" s="22" t="s">
        <v>8</v>
      </c>
      <c r="L83" s="389"/>
      <c r="M83" s="401"/>
      <c r="N83" s="401"/>
      <c r="O83" s="401"/>
      <c r="P83" s="353"/>
      <c r="Q83" s="353"/>
      <c r="R83" s="466"/>
      <c r="S83" s="11"/>
      <c r="T83" s="353"/>
      <c r="U83" s="353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  <c r="AK83" s="353"/>
      <c r="AL83" s="353"/>
      <c r="AM83" s="353"/>
      <c r="AN83" s="353"/>
      <c r="AO83" s="353"/>
      <c r="AP83" s="352"/>
      <c r="AQ83" s="20"/>
    </row>
    <row r="84" spans="1:43" ht="48.75" customHeight="1" x14ac:dyDescent="0.25">
      <c r="A84" s="436" t="s">
        <v>72</v>
      </c>
      <c r="B84" s="437"/>
      <c r="C84" s="437"/>
      <c r="D84" s="437"/>
      <c r="E84" s="99"/>
      <c r="F84" s="99"/>
      <c r="G84" s="99"/>
      <c r="H84" s="99"/>
      <c r="I84" s="99"/>
      <c r="J84" s="164">
        <f>J74+J76+J78+J80+J82</f>
        <v>28.91</v>
      </c>
      <c r="K84" s="99"/>
      <c r="L84" s="181">
        <f>L74+L76+L78+L80+L82</f>
        <v>547561.70000000007</v>
      </c>
      <c r="M84" s="99"/>
      <c r="N84" s="99"/>
      <c r="O84" s="99"/>
      <c r="P84" s="99">
        <f>P74+P78</f>
        <v>9.032</v>
      </c>
      <c r="Q84" s="99"/>
      <c r="R84" s="164">
        <f>SUM(R74:R83)</f>
        <v>859000</v>
      </c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</row>
    <row r="85" spans="1:43" x14ac:dyDescent="0.25">
      <c r="A85" s="477" t="s">
        <v>20</v>
      </c>
      <c r="B85" s="477"/>
      <c r="C85" s="477"/>
      <c r="D85" s="477"/>
      <c r="E85" s="477"/>
      <c r="F85" s="477"/>
      <c r="G85" s="477"/>
      <c r="H85" s="477"/>
      <c r="I85" s="467" t="s">
        <v>11</v>
      </c>
      <c r="J85" s="22"/>
      <c r="K85" s="22" t="s">
        <v>5</v>
      </c>
      <c r="L85" s="367"/>
      <c r="M85" s="24"/>
      <c r="N85" s="25"/>
      <c r="O85" s="467" t="s">
        <v>11</v>
      </c>
      <c r="P85" s="22"/>
      <c r="Q85" s="22" t="s">
        <v>5</v>
      </c>
      <c r="R85" s="22"/>
      <c r="S85" s="24"/>
      <c r="T85" s="25"/>
      <c r="U85" s="467" t="s">
        <v>11</v>
      </c>
      <c r="V85" s="22"/>
      <c r="W85" s="22" t="s">
        <v>5</v>
      </c>
      <c r="X85" s="22"/>
      <c r="Y85" s="24"/>
      <c r="Z85" s="25"/>
      <c r="AA85" s="467" t="s">
        <v>11</v>
      </c>
      <c r="AB85" s="22"/>
      <c r="AC85" s="22" t="s">
        <v>5</v>
      </c>
      <c r="AD85" s="22"/>
      <c r="AE85" s="24"/>
      <c r="AF85" s="25"/>
      <c r="AG85" s="467" t="s">
        <v>11</v>
      </c>
      <c r="AH85" s="22"/>
      <c r="AI85" s="22" t="s">
        <v>5</v>
      </c>
      <c r="AJ85" s="22"/>
      <c r="AK85" s="24"/>
      <c r="AL85" s="25"/>
      <c r="AM85" s="467" t="s">
        <v>11</v>
      </c>
      <c r="AN85" s="22"/>
      <c r="AO85" s="22" t="s">
        <v>5</v>
      </c>
      <c r="AP85" s="23"/>
      <c r="AQ85" s="23"/>
    </row>
    <row r="86" spans="1:43" x14ac:dyDescent="0.25">
      <c r="A86" s="477"/>
      <c r="B86" s="477"/>
      <c r="C86" s="477"/>
      <c r="D86" s="477"/>
      <c r="E86" s="477"/>
      <c r="F86" s="477"/>
      <c r="G86" s="477"/>
      <c r="H86" s="477"/>
      <c r="I86" s="468"/>
      <c r="J86" s="22"/>
      <c r="K86" s="22" t="s">
        <v>8</v>
      </c>
      <c r="L86" s="367"/>
      <c r="M86" s="26"/>
      <c r="N86" s="27"/>
      <c r="O86" s="468"/>
      <c r="P86" s="22"/>
      <c r="Q86" s="22" t="s">
        <v>8</v>
      </c>
      <c r="R86" s="22"/>
      <c r="S86" s="26"/>
      <c r="T86" s="27"/>
      <c r="U86" s="468"/>
      <c r="V86" s="22"/>
      <c r="W86" s="22" t="s">
        <v>8</v>
      </c>
      <c r="X86" s="22"/>
      <c r="Y86" s="26"/>
      <c r="Z86" s="27"/>
      <c r="AA86" s="468"/>
      <c r="AB86" s="22"/>
      <c r="AC86" s="22" t="s">
        <v>8</v>
      </c>
      <c r="AD86" s="22"/>
      <c r="AE86" s="26"/>
      <c r="AF86" s="27"/>
      <c r="AG86" s="468"/>
      <c r="AH86" s="22"/>
      <c r="AI86" s="22" t="s">
        <v>8</v>
      </c>
      <c r="AJ86" s="22"/>
      <c r="AK86" s="26"/>
      <c r="AL86" s="27"/>
      <c r="AM86" s="468"/>
      <c r="AN86" s="22"/>
      <c r="AO86" s="22" t="s">
        <v>8</v>
      </c>
      <c r="AP86" s="23"/>
      <c r="AQ86" s="23"/>
    </row>
    <row r="87" spans="1:43" x14ac:dyDescent="0.25">
      <c r="A87" s="477"/>
      <c r="B87" s="477"/>
      <c r="C87" s="477"/>
      <c r="D87" s="477"/>
      <c r="E87" s="477"/>
      <c r="F87" s="477"/>
      <c r="G87" s="477"/>
      <c r="H87" s="477"/>
      <c r="I87" s="467" t="s">
        <v>41</v>
      </c>
      <c r="J87" s="22"/>
      <c r="K87" s="22" t="s">
        <v>5</v>
      </c>
      <c r="L87" s="367"/>
      <c r="M87" s="26"/>
      <c r="N87" s="27"/>
      <c r="O87" s="467" t="s">
        <v>41</v>
      </c>
      <c r="P87" s="22"/>
      <c r="Q87" s="22" t="s">
        <v>5</v>
      </c>
      <c r="R87" s="22"/>
      <c r="S87" s="26"/>
      <c r="T87" s="27"/>
      <c r="U87" s="467" t="s">
        <v>41</v>
      </c>
      <c r="V87" s="22"/>
      <c r="W87" s="22" t="s">
        <v>5</v>
      </c>
      <c r="X87" s="22"/>
      <c r="Y87" s="26"/>
      <c r="Z87" s="27"/>
      <c r="AA87" s="467" t="s">
        <v>41</v>
      </c>
      <c r="AB87" s="22"/>
      <c r="AC87" s="22" t="s">
        <v>5</v>
      </c>
      <c r="AD87" s="22"/>
      <c r="AE87" s="26"/>
      <c r="AF87" s="27"/>
      <c r="AG87" s="467" t="s">
        <v>41</v>
      </c>
      <c r="AH87" s="22"/>
      <c r="AI87" s="22" t="s">
        <v>5</v>
      </c>
      <c r="AJ87" s="22"/>
      <c r="AK87" s="26"/>
      <c r="AL87" s="27"/>
      <c r="AM87" s="467" t="s">
        <v>41</v>
      </c>
      <c r="AN87" s="22"/>
      <c r="AO87" s="22" t="s">
        <v>5</v>
      </c>
      <c r="AP87" s="23"/>
      <c r="AQ87" s="23"/>
    </row>
    <row r="88" spans="1:43" x14ac:dyDescent="0.25">
      <c r="A88" s="477"/>
      <c r="B88" s="477"/>
      <c r="C88" s="477"/>
      <c r="D88" s="477"/>
      <c r="E88" s="477"/>
      <c r="F88" s="477"/>
      <c r="G88" s="477"/>
      <c r="H88" s="477"/>
      <c r="I88" s="468"/>
      <c r="J88" s="22"/>
      <c r="K88" s="22" t="s">
        <v>8</v>
      </c>
      <c r="L88" s="367"/>
      <c r="M88" s="26"/>
      <c r="N88" s="27"/>
      <c r="O88" s="468"/>
      <c r="P88" s="22"/>
      <c r="Q88" s="22" t="s">
        <v>8</v>
      </c>
      <c r="R88" s="22"/>
      <c r="S88" s="26"/>
      <c r="T88" s="27"/>
      <c r="U88" s="468"/>
      <c r="V88" s="22"/>
      <c r="W88" s="22" t="s">
        <v>8</v>
      </c>
      <c r="X88" s="22"/>
      <c r="Y88" s="26"/>
      <c r="Z88" s="27"/>
      <c r="AA88" s="468"/>
      <c r="AB88" s="22"/>
      <c r="AC88" s="22" t="s">
        <v>8</v>
      </c>
      <c r="AD88" s="22"/>
      <c r="AE88" s="26"/>
      <c r="AF88" s="27"/>
      <c r="AG88" s="468"/>
      <c r="AH88" s="22"/>
      <c r="AI88" s="22" t="s">
        <v>8</v>
      </c>
      <c r="AJ88" s="22"/>
      <c r="AK88" s="26"/>
      <c r="AL88" s="27"/>
      <c r="AM88" s="468"/>
      <c r="AN88" s="22"/>
      <c r="AO88" s="22" t="s">
        <v>8</v>
      </c>
      <c r="AP88" s="23"/>
      <c r="AQ88" s="23"/>
    </row>
    <row r="89" spans="1:43" x14ac:dyDescent="0.25">
      <c r="A89" s="477"/>
      <c r="B89" s="477"/>
      <c r="C89" s="477"/>
      <c r="D89" s="477"/>
      <c r="E89" s="477"/>
      <c r="F89" s="477"/>
      <c r="G89" s="477"/>
      <c r="H89" s="477"/>
      <c r="I89" s="467" t="s">
        <v>42</v>
      </c>
      <c r="J89" s="22">
        <f>J74+J78+J80+J82</f>
        <v>17.91</v>
      </c>
      <c r="K89" s="22" t="s">
        <v>5</v>
      </c>
      <c r="L89" s="367">
        <f>L74+L78+L80+L82</f>
        <v>378939.8</v>
      </c>
      <c r="M89" s="26"/>
      <c r="N89" s="27"/>
      <c r="O89" s="467" t="s">
        <v>42</v>
      </c>
      <c r="P89" s="22">
        <f>P74+P78</f>
        <v>9.032</v>
      </c>
      <c r="Q89" s="22" t="s">
        <v>5</v>
      </c>
      <c r="R89" s="500">
        <f>R74+R78</f>
        <v>609000</v>
      </c>
      <c r="S89" s="26"/>
      <c r="T89" s="27"/>
      <c r="U89" s="467" t="s">
        <v>42</v>
      </c>
      <c r="V89" s="22"/>
      <c r="W89" s="22" t="s">
        <v>5</v>
      </c>
      <c r="X89" s="22"/>
      <c r="Y89" s="26"/>
      <c r="Z89" s="27"/>
      <c r="AA89" s="467" t="s">
        <v>42</v>
      </c>
      <c r="AB89" s="22"/>
      <c r="AC89" s="22" t="s">
        <v>5</v>
      </c>
      <c r="AD89" s="22"/>
      <c r="AE89" s="26"/>
      <c r="AF89" s="27"/>
      <c r="AG89" s="467" t="s">
        <v>42</v>
      </c>
      <c r="AH89" s="22"/>
      <c r="AI89" s="22" t="s">
        <v>5</v>
      </c>
      <c r="AJ89" s="22"/>
      <c r="AK89" s="26"/>
      <c r="AL89" s="27"/>
      <c r="AM89" s="467" t="s">
        <v>42</v>
      </c>
      <c r="AN89" s="22"/>
      <c r="AO89" s="22" t="s">
        <v>5</v>
      </c>
      <c r="AP89" s="23"/>
      <c r="AQ89" s="23"/>
    </row>
    <row r="90" spans="1:43" x14ac:dyDescent="0.25">
      <c r="A90" s="477"/>
      <c r="B90" s="477"/>
      <c r="C90" s="477"/>
      <c r="D90" s="477"/>
      <c r="E90" s="477"/>
      <c r="F90" s="477"/>
      <c r="G90" s="477"/>
      <c r="H90" s="477"/>
      <c r="I90" s="468"/>
      <c r="J90" s="22">
        <f>J75+J79+J81+J83</f>
        <v>125370</v>
      </c>
      <c r="K90" s="22" t="s">
        <v>8</v>
      </c>
      <c r="L90" s="367"/>
      <c r="M90" s="26"/>
      <c r="N90" s="27"/>
      <c r="O90" s="468"/>
      <c r="P90" s="22">
        <f>P75+P79</f>
        <v>126448</v>
      </c>
      <c r="Q90" s="22" t="s">
        <v>8</v>
      </c>
      <c r="R90" s="501"/>
      <c r="S90" s="26"/>
      <c r="T90" s="27"/>
      <c r="U90" s="468"/>
      <c r="V90" s="22"/>
      <c r="W90" s="22" t="s">
        <v>8</v>
      </c>
      <c r="X90" s="22"/>
      <c r="Y90" s="26"/>
      <c r="Z90" s="27"/>
      <c r="AA90" s="468"/>
      <c r="AB90" s="22"/>
      <c r="AC90" s="22" t="s">
        <v>8</v>
      </c>
      <c r="AD90" s="22"/>
      <c r="AE90" s="26"/>
      <c r="AF90" s="27"/>
      <c r="AG90" s="468"/>
      <c r="AH90" s="22"/>
      <c r="AI90" s="22" t="s">
        <v>8</v>
      </c>
      <c r="AJ90" s="22"/>
      <c r="AK90" s="26"/>
      <c r="AL90" s="27"/>
      <c r="AM90" s="468"/>
      <c r="AN90" s="22"/>
      <c r="AO90" s="22" t="s">
        <v>8</v>
      </c>
      <c r="AP90" s="23"/>
      <c r="AQ90" s="23"/>
    </row>
    <row r="91" spans="1:43" ht="13.9" customHeight="1" x14ac:dyDescent="0.25">
      <c r="A91" s="477"/>
      <c r="B91" s="477"/>
      <c r="C91" s="477"/>
      <c r="D91" s="477"/>
      <c r="E91" s="477"/>
      <c r="F91" s="477"/>
      <c r="G91" s="477"/>
      <c r="H91" s="477"/>
      <c r="I91" s="467" t="s">
        <v>43</v>
      </c>
      <c r="J91" s="369">
        <f>J76</f>
        <v>11</v>
      </c>
      <c r="K91" s="22" t="s">
        <v>5</v>
      </c>
      <c r="L91" s="367">
        <f>L76</f>
        <v>168621.9</v>
      </c>
      <c r="M91" s="26"/>
      <c r="N91" s="27"/>
      <c r="O91" s="467" t="s">
        <v>43</v>
      </c>
      <c r="P91" s="22">
        <v>10</v>
      </c>
      <c r="Q91" s="22" t="s">
        <v>5</v>
      </c>
      <c r="R91" s="472">
        <v>250000</v>
      </c>
      <c r="S91" s="26"/>
      <c r="T91" s="27"/>
      <c r="U91" s="467" t="s">
        <v>43</v>
      </c>
      <c r="V91" s="22">
        <v>10</v>
      </c>
      <c r="W91" s="22" t="s">
        <v>5</v>
      </c>
      <c r="X91" s="472">
        <v>250000</v>
      </c>
      <c r="Y91" s="26"/>
      <c r="Z91" s="27"/>
      <c r="AA91" s="467" t="s">
        <v>43</v>
      </c>
      <c r="AB91" s="22">
        <v>10</v>
      </c>
      <c r="AC91" s="22" t="s">
        <v>5</v>
      </c>
      <c r="AD91" s="472">
        <v>250000</v>
      </c>
      <c r="AE91" s="26"/>
      <c r="AF91" s="27"/>
      <c r="AG91" s="467" t="s">
        <v>43</v>
      </c>
      <c r="AH91" s="22">
        <v>10</v>
      </c>
      <c r="AI91" s="22" t="s">
        <v>5</v>
      </c>
      <c r="AJ91" s="472">
        <v>250000</v>
      </c>
      <c r="AK91" s="26"/>
      <c r="AL91" s="27"/>
      <c r="AM91" s="467" t="s">
        <v>43</v>
      </c>
      <c r="AN91" s="22">
        <v>10</v>
      </c>
      <c r="AO91" s="22" t="s">
        <v>5</v>
      </c>
      <c r="AP91" s="472">
        <v>250000</v>
      </c>
      <c r="AQ91" s="23"/>
    </row>
    <row r="92" spans="1:43" x14ac:dyDescent="0.25">
      <c r="A92" s="477"/>
      <c r="B92" s="477"/>
      <c r="C92" s="477"/>
      <c r="D92" s="477"/>
      <c r="E92" s="477"/>
      <c r="F92" s="477"/>
      <c r="G92" s="477"/>
      <c r="H92" s="477"/>
      <c r="I92" s="468"/>
      <c r="J92" s="369">
        <f>J77</f>
        <v>77000</v>
      </c>
      <c r="K92" s="22" t="s">
        <v>8</v>
      </c>
      <c r="L92" s="367"/>
      <c r="M92" s="26"/>
      <c r="N92" s="27"/>
      <c r="O92" s="468"/>
      <c r="P92" s="22">
        <v>75000</v>
      </c>
      <c r="Q92" s="22" t="s">
        <v>8</v>
      </c>
      <c r="R92" s="473"/>
      <c r="S92" s="26"/>
      <c r="T92" s="27"/>
      <c r="U92" s="468"/>
      <c r="V92" s="22">
        <v>75000</v>
      </c>
      <c r="W92" s="22" t="s">
        <v>8</v>
      </c>
      <c r="X92" s="473"/>
      <c r="Y92" s="26"/>
      <c r="Z92" s="27"/>
      <c r="AA92" s="468"/>
      <c r="AB92" s="22">
        <v>75000</v>
      </c>
      <c r="AC92" s="22" t="s">
        <v>8</v>
      </c>
      <c r="AD92" s="473"/>
      <c r="AE92" s="26"/>
      <c r="AF92" s="27"/>
      <c r="AG92" s="468"/>
      <c r="AH92" s="22">
        <v>75000</v>
      </c>
      <c r="AI92" s="22" t="s">
        <v>8</v>
      </c>
      <c r="AJ92" s="473"/>
      <c r="AK92" s="26"/>
      <c r="AL92" s="27"/>
      <c r="AM92" s="468"/>
      <c r="AN92" s="22">
        <v>75000</v>
      </c>
      <c r="AO92" s="22" t="s">
        <v>8</v>
      </c>
      <c r="AP92" s="473"/>
      <c r="AQ92" s="23"/>
    </row>
    <row r="93" spans="1:43" x14ac:dyDescent="0.25">
      <c r="A93" s="477"/>
      <c r="B93" s="477"/>
      <c r="C93" s="477"/>
      <c r="D93" s="477"/>
      <c r="E93" s="477"/>
      <c r="F93" s="477"/>
      <c r="G93" s="477"/>
      <c r="H93" s="477"/>
      <c r="I93" s="472" t="s">
        <v>12</v>
      </c>
      <c r="J93" s="22">
        <v>2631.7</v>
      </c>
      <c r="K93" s="22" t="s">
        <v>8</v>
      </c>
      <c r="L93" s="472">
        <f>J94*22</f>
        <v>578.97400000000005</v>
      </c>
      <c r="M93" s="26"/>
      <c r="N93" s="27"/>
      <c r="O93" s="472" t="s">
        <v>12</v>
      </c>
      <c r="P93" s="22">
        <f>P89*3*0.1*1000</f>
        <v>2709.6</v>
      </c>
      <c r="Q93" s="22" t="s">
        <v>8</v>
      </c>
      <c r="R93" s="472">
        <f>P94*22</f>
        <v>372.57</v>
      </c>
      <c r="S93" s="26"/>
      <c r="T93" s="27"/>
      <c r="U93" s="472" t="s">
        <v>12</v>
      </c>
      <c r="V93" s="22"/>
      <c r="W93" s="22" t="s">
        <v>8</v>
      </c>
      <c r="X93" s="472"/>
      <c r="Y93" s="26"/>
      <c r="Z93" s="27"/>
      <c r="AA93" s="472" t="s">
        <v>12</v>
      </c>
      <c r="AB93" s="22"/>
      <c r="AC93" s="22" t="s">
        <v>8</v>
      </c>
      <c r="AD93" s="472"/>
      <c r="AE93" s="26"/>
      <c r="AF93" s="27"/>
      <c r="AG93" s="472" t="s">
        <v>12</v>
      </c>
      <c r="AH93" s="22"/>
      <c r="AI93" s="22" t="s">
        <v>8</v>
      </c>
      <c r="AJ93" s="472"/>
      <c r="AK93" s="26"/>
      <c r="AL93" s="27"/>
      <c r="AM93" s="472" t="s">
        <v>12</v>
      </c>
      <c r="AN93" s="22"/>
      <c r="AO93" s="22" t="s">
        <v>8</v>
      </c>
      <c r="AP93" s="472"/>
      <c r="AQ93" s="23"/>
    </row>
    <row r="94" spans="1:43" x14ac:dyDescent="0.25">
      <c r="A94" s="477"/>
      <c r="B94" s="477"/>
      <c r="C94" s="477"/>
      <c r="D94" s="477"/>
      <c r="E94" s="477"/>
      <c r="F94" s="477"/>
      <c r="G94" s="477"/>
      <c r="H94" s="477"/>
      <c r="I94" s="473"/>
      <c r="J94" s="22">
        <v>26.317</v>
      </c>
      <c r="K94" s="22" t="s">
        <v>5</v>
      </c>
      <c r="L94" s="473"/>
      <c r="M94" s="26"/>
      <c r="N94" s="27"/>
      <c r="O94" s="473"/>
      <c r="P94" s="22">
        <f>P89*0.75*2.5</f>
        <v>16.934999999999999</v>
      </c>
      <c r="Q94" s="22" t="s">
        <v>5</v>
      </c>
      <c r="R94" s="473"/>
      <c r="S94" s="26"/>
      <c r="T94" s="27"/>
      <c r="U94" s="473"/>
      <c r="V94" s="22"/>
      <c r="W94" s="22" t="s">
        <v>5</v>
      </c>
      <c r="X94" s="473"/>
      <c r="Y94" s="26"/>
      <c r="Z94" s="27"/>
      <c r="AA94" s="473"/>
      <c r="AB94" s="22"/>
      <c r="AC94" s="22" t="s">
        <v>5</v>
      </c>
      <c r="AD94" s="473"/>
      <c r="AE94" s="26"/>
      <c r="AF94" s="27"/>
      <c r="AG94" s="473"/>
      <c r="AH94" s="22"/>
      <c r="AI94" s="22" t="s">
        <v>5</v>
      </c>
      <c r="AJ94" s="473"/>
      <c r="AK94" s="26"/>
      <c r="AL94" s="27"/>
      <c r="AM94" s="473"/>
      <c r="AN94" s="22"/>
      <c r="AO94" s="22" t="s">
        <v>5</v>
      </c>
      <c r="AP94" s="473"/>
      <c r="AQ94" s="23"/>
    </row>
    <row r="95" spans="1:43" ht="42.75" x14ac:dyDescent="0.25">
      <c r="A95" s="477"/>
      <c r="B95" s="477"/>
      <c r="C95" s="477"/>
      <c r="D95" s="477"/>
      <c r="E95" s="477"/>
      <c r="F95" s="477"/>
      <c r="G95" s="477"/>
      <c r="H95" s="477"/>
      <c r="I95" s="21" t="s">
        <v>13</v>
      </c>
      <c r="J95" s="22"/>
      <c r="K95" s="22" t="s">
        <v>14</v>
      </c>
      <c r="L95" s="22"/>
      <c r="M95" s="26"/>
      <c r="N95" s="27"/>
      <c r="O95" s="21" t="s">
        <v>13</v>
      </c>
      <c r="P95" s="22"/>
      <c r="Q95" s="22" t="s">
        <v>14</v>
      </c>
      <c r="R95" s="22"/>
      <c r="S95" s="26"/>
      <c r="T95" s="27"/>
      <c r="U95" s="21" t="s">
        <v>13</v>
      </c>
      <c r="V95" s="22"/>
      <c r="W95" s="22" t="s">
        <v>14</v>
      </c>
      <c r="X95" s="22"/>
      <c r="Y95" s="26"/>
      <c r="Z95" s="27"/>
      <c r="AA95" s="21" t="s">
        <v>13</v>
      </c>
      <c r="AB95" s="22"/>
      <c r="AC95" s="22" t="s">
        <v>14</v>
      </c>
      <c r="AD95" s="22"/>
      <c r="AE95" s="26"/>
      <c r="AF95" s="27"/>
      <c r="AG95" s="21" t="s">
        <v>13</v>
      </c>
      <c r="AH95" s="22"/>
      <c r="AI95" s="22" t="s">
        <v>14</v>
      </c>
      <c r="AJ95" s="22"/>
      <c r="AK95" s="26"/>
      <c r="AL95" s="27"/>
      <c r="AM95" s="21" t="s">
        <v>13</v>
      </c>
      <c r="AN95" s="22"/>
      <c r="AO95" s="22" t="s">
        <v>14</v>
      </c>
      <c r="AP95" s="23"/>
      <c r="AQ95" s="23"/>
    </row>
    <row r="96" spans="1:43" ht="28.5" x14ac:dyDescent="0.25">
      <c r="A96" s="477"/>
      <c r="B96" s="477"/>
      <c r="C96" s="477"/>
      <c r="D96" s="477"/>
      <c r="E96" s="477"/>
      <c r="F96" s="477"/>
      <c r="G96" s="477"/>
      <c r="H96" s="477"/>
      <c r="I96" s="21" t="s">
        <v>44</v>
      </c>
      <c r="J96" s="22">
        <v>216</v>
      </c>
      <c r="K96" s="22" t="s">
        <v>14</v>
      </c>
      <c r="L96" s="22">
        <v>2.3759999999999999</v>
      </c>
      <c r="M96" s="26"/>
      <c r="N96" s="27"/>
      <c r="O96" s="21" t="s">
        <v>44</v>
      </c>
      <c r="P96" s="22">
        <v>66</v>
      </c>
      <c r="Q96" s="22" t="s">
        <v>14</v>
      </c>
      <c r="R96" s="22">
        <v>726</v>
      </c>
      <c r="S96" s="26"/>
      <c r="T96" s="27"/>
      <c r="U96" s="21" t="s">
        <v>44</v>
      </c>
      <c r="V96" s="22"/>
      <c r="W96" s="22" t="s">
        <v>14</v>
      </c>
      <c r="X96" s="22"/>
      <c r="Y96" s="26"/>
      <c r="Z96" s="27"/>
      <c r="AA96" s="21" t="s">
        <v>44</v>
      </c>
      <c r="AB96" s="22"/>
      <c r="AC96" s="22" t="s">
        <v>14</v>
      </c>
      <c r="AD96" s="22"/>
      <c r="AE96" s="26"/>
      <c r="AF96" s="27"/>
      <c r="AG96" s="21" t="s">
        <v>44</v>
      </c>
      <c r="AH96" s="22"/>
      <c r="AI96" s="22" t="s">
        <v>14</v>
      </c>
      <c r="AJ96" s="22"/>
      <c r="AK96" s="26"/>
      <c r="AL96" s="27"/>
      <c r="AM96" s="21" t="s">
        <v>44</v>
      </c>
      <c r="AN96" s="22"/>
      <c r="AO96" s="22" t="s">
        <v>14</v>
      </c>
      <c r="AP96" s="23"/>
      <c r="AQ96" s="23"/>
    </row>
    <row r="97" spans="1:43" ht="42.75" x14ac:dyDescent="0.25">
      <c r="A97" s="477"/>
      <c r="B97" s="477"/>
      <c r="C97" s="477"/>
      <c r="D97" s="477"/>
      <c r="E97" s="477"/>
      <c r="F97" s="477"/>
      <c r="G97" s="477"/>
      <c r="H97" s="477"/>
      <c r="I97" s="21" t="s">
        <v>15</v>
      </c>
      <c r="J97" s="22"/>
      <c r="K97" s="22" t="s">
        <v>16</v>
      </c>
      <c r="L97" s="22"/>
      <c r="M97" s="26"/>
      <c r="N97" s="27"/>
      <c r="O97" s="21" t="s">
        <v>15</v>
      </c>
      <c r="P97" s="22"/>
      <c r="Q97" s="22" t="s">
        <v>16</v>
      </c>
      <c r="R97" s="22"/>
      <c r="S97" s="26"/>
      <c r="T97" s="27"/>
      <c r="U97" s="21" t="s">
        <v>15</v>
      </c>
      <c r="V97" s="22"/>
      <c r="W97" s="22" t="s">
        <v>16</v>
      </c>
      <c r="X97" s="22"/>
      <c r="Y97" s="26"/>
      <c r="Z97" s="27"/>
      <c r="AA97" s="21" t="s">
        <v>15</v>
      </c>
      <c r="AB97" s="22"/>
      <c r="AC97" s="22" t="s">
        <v>16</v>
      </c>
      <c r="AD97" s="22"/>
      <c r="AE97" s="26"/>
      <c r="AF97" s="27"/>
      <c r="AG97" s="21" t="s">
        <v>15</v>
      </c>
      <c r="AH97" s="22"/>
      <c r="AI97" s="22" t="s">
        <v>16</v>
      </c>
      <c r="AJ97" s="22"/>
      <c r="AK97" s="26"/>
      <c r="AL97" s="27"/>
      <c r="AM97" s="21" t="s">
        <v>15</v>
      </c>
      <c r="AN97" s="22"/>
      <c r="AO97" s="22" t="s">
        <v>16</v>
      </c>
      <c r="AP97" s="23"/>
      <c r="AQ97" s="23"/>
    </row>
    <row r="98" spans="1:43" x14ac:dyDescent="0.25">
      <c r="A98" s="477"/>
      <c r="B98" s="477"/>
      <c r="C98" s="477"/>
      <c r="D98" s="477"/>
      <c r="E98" s="477"/>
      <c r="F98" s="477"/>
      <c r="G98" s="477"/>
      <c r="H98" s="477"/>
      <c r="I98" s="21" t="s">
        <v>17</v>
      </c>
      <c r="J98" s="22"/>
      <c r="K98" s="22" t="s">
        <v>8</v>
      </c>
      <c r="L98" s="22"/>
      <c r="M98" s="26"/>
      <c r="N98" s="27"/>
      <c r="O98" s="21" t="s">
        <v>17</v>
      </c>
      <c r="P98" s="22"/>
      <c r="Q98" s="22" t="s">
        <v>8</v>
      </c>
      <c r="R98" s="22"/>
      <c r="S98" s="26"/>
      <c r="T98" s="27"/>
      <c r="U98" s="21" t="s">
        <v>17</v>
      </c>
      <c r="V98" s="22"/>
      <c r="W98" s="22" t="s">
        <v>8</v>
      </c>
      <c r="X98" s="22"/>
      <c r="Y98" s="26"/>
      <c r="Z98" s="27"/>
      <c r="AA98" s="21" t="s">
        <v>17</v>
      </c>
      <c r="AB98" s="22"/>
      <c r="AC98" s="22" t="s">
        <v>8</v>
      </c>
      <c r="AD98" s="22"/>
      <c r="AE98" s="26"/>
      <c r="AF98" s="27"/>
      <c r="AG98" s="21" t="s">
        <v>17</v>
      </c>
      <c r="AH98" s="22"/>
      <c r="AI98" s="22" t="s">
        <v>8</v>
      </c>
      <c r="AJ98" s="22"/>
      <c r="AK98" s="26"/>
      <c r="AL98" s="27"/>
      <c r="AM98" s="21" t="s">
        <v>17</v>
      </c>
      <c r="AN98" s="22"/>
      <c r="AO98" s="22" t="s">
        <v>8</v>
      </c>
      <c r="AP98" s="23"/>
      <c r="AQ98" s="23"/>
    </row>
    <row r="99" spans="1:43" ht="28.5" x14ac:dyDescent="0.25">
      <c r="A99" s="477"/>
      <c r="B99" s="477"/>
      <c r="C99" s="477"/>
      <c r="D99" s="477"/>
      <c r="E99" s="477"/>
      <c r="F99" s="477"/>
      <c r="G99" s="477"/>
      <c r="H99" s="477"/>
      <c r="I99" s="21" t="s">
        <v>18</v>
      </c>
      <c r="J99" s="22">
        <v>9032</v>
      </c>
      <c r="K99" s="22" t="s">
        <v>16</v>
      </c>
      <c r="L99" s="22">
        <v>27096</v>
      </c>
      <c r="M99" s="26"/>
      <c r="N99" s="27"/>
      <c r="O99" s="21" t="s">
        <v>18</v>
      </c>
      <c r="P99" s="22"/>
      <c r="Q99" s="22" t="s">
        <v>16</v>
      </c>
      <c r="R99" s="22"/>
      <c r="S99" s="26"/>
      <c r="T99" s="27"/>
      <c r="U99" s="21" t="s">
        <v>18</v>
      </c>
      <c r="V99" s="22"/>
      <c r="W99" s="22" t="s">
        <v>16</v>
      </c>
      <c r="X99" s="22"/>
      <c r="Y99" s="26"/>
      <c r="Z99" s="27"/>
      <c r="AA99" s="21" t="s">
        <v>18</v>
      </c>
      <c r="AB99" s="22"/>
      <c r="AC99" s="22" t="s">
        <v>16</v>
      </c>
      <c r="AD99" s="22"/>
      <c r="AE99" s="26"/>
      <c r="AF99" s="27"/>
      <c r="AG99" s="21" t="s">
        <v>18</v>
      </c>
      <c r="AH99" s="22"/>
      <c r="AI99" s="22" t="s">
        <v>16</v>
      </c>
      <c r="AJ99" s="22"/>
      <c r="AK99" s="26"/>
      <c r="AL99" s="27"/>
      <c r="AM99" s="21" t="s">
        <v>18</v>
      </c>
      <c r="AN99" s="22"/>
      <c r="AO99" s="22" t="s">
        <v>16</v>
      </c>
      <c r="AP99" s="23"/>
      <c r="AQ99" s="23"/>
    </row>
    <row r="100" spans="1:43" ht="42.75" x14ac:dyDescent="0.25">
      <c r="A100" s="477"/>
      <c r="B100" s="477"/>
      <c r="C100" s="477"/>
      <c r="D100" s="477"/>
      <c r="E100" s="477"/>
      <c r="F100" s="477"/>
      <c r="G100" s="477"/>
      <c r="H100" s="477"/>
      <c r="I100" s="21" t="s">
        <v>46</v>
      </c>
      <c r="J100" s="22"/>
      <c r="K100" s="22" t="s">
        <v>16</v>
      </c>
      <c r="L100" s="21"/>
      <c r="M100" s="26"/>
      <c r="N100" s="27"/>
      <c r="O100" s="21" t="s">
        <v>46</v>
      </c>
      <c r="P100" s="22"/>
      <c r="Q100" s="22" t="s">
        <v>16</v>
      </c>
      <c r="R100" s="21"/>
      <c r="S100" s="26"/>
      <c r="T100" s="27"/>
      <c r="U100" s="21" t="s">
        <v>46</v>
      </c>
      <c r="V100" s="22"/>
      <c r="W100" s="22" t="s">
        <v>16</v>
      </c>
      <c r="X100" s="21"/>
      <c r="Y100" s="26"/>
      <c r="Z100" s="27"/>
      <c r="AA100" s="21" t="s">
        <v>46</v>
      </c>
      <c r="AB100" s="22"/>
      <c r="AC100" s="22" t="s">
        <v>16</v>
      </c>
      <c r="AD100" s="21"/>
      <c r="AE100" s="26"/>
      <c r="AF100" s="27"/>
      <c r="AG100" s="21" t="s">
        <v>46</v>
      </c>
      <c r="AH100" s="22"/>
      <c r="AI100" s="22" t="s">
        <v>16</v>
      </c>
      <c r="AJ100" s="21"/>
      <c r="AK100" s="26"/>
      <c r="AL100" s="27"/>
      <c r="AM100" s="21" t="s">
        <v>46</v>
      </c>
      <c r="AN100" s="22"/>
      <c r="AO100" s="22" t="s">
        <v>16</v>
      </c>
      <c r="AP100" s="90"/>
      <c r="AQ100" s="90"/>
    </row>
    <row r="101" spans="1:43" ht="28.5" x14ac:dyDescent="0.25">
      <c r="A101" s="478"/>
      <c r="B101" s="478"/>
      <c r="C101" s="478"/>
      <c r="D101" s="478"/>
      <c r="E101" s="478"/>
      <c r="F101" s="478"/>
      <c r="G101" s="478"/>
      <c r="H101" s="478"/>
      <c r="I101" s="21" t="s">
        <v>106</v>
      </c>
      <c r="J101" s="22"/>
      <c r="K101" s="22" t="s">
        <v>8</v>
      </c>
      <c r="L101" s="70"/>
      <c r="M101" s="26"/>
      <c r="N101" s="27"/>
      <c r="O101" s="21" t="s">
        <v>106</v>
      </c>
      <c r="P101" s="22"/>
      <c r="Q101" s="22" t="s">
        <v>8</v>
      </c>
      <c r="R101" s="70"/>
      <c r="S101" s="26"/>
      <c r="T101" s="27"/>
      <c r="U101" s="21" t="s">
        <v>106</v>
      </c>
      <c r="V101" s="22"/>
      <c r="W101" s="22" t="s">
        <v>8</v>
      </c>
      <c r="X101" s="70"/>
      <c r="Y101" s="26"/>
      <c r="Z101" s="27"/>
      <c r="AA101" s="21" t="s">
        <v>106</v>
      </c>
      <c r="AB101" s="22"/>
      <c r="AC101" s="22" t="s">
        <v>8</v>
      </c>
      <c r="AD101" s="70"/>
      <c r="AE101" s="26"/>
      <c r="AF101" s="27"/>
      <c r="AG101" s="21" t="s">
        <v>106</v>
      </c>
      <c r="AH101" s="22"/>
      <c r="AI101" s="22" t="s">
        <v>8</v>
      </c>
      <c r="AJ101" s="70"/>
      <c r="AK101" s="26"/>
      <c r="AL101" s="27"/>
      <c r="AM101" s="21" t="s">
        <v>106</v>
      </c>
      <c r="AN101" s="22"/>
      <c r="AO101" s="22" t="s">
        <v>8</v>
      </c>
      <c r="AP101" s="91"/>
      <c r="AQ101" s="91"/>
    </row>
    <row r="102" spans="1:43" ht="42.75" x14ac:dyDescent="0.25">
      <c r="A102" s="478"/>
      <c r="B102" s="478"/>
      <c r="C102" s="478"/>
      <c r="D102" s="478"/>
      <c r="E102" s="478"/>
      <c r="F102" s="478"/>
      <c r="G102" s="478"/>
      <c r="H102" s="478"/>
      <c r="I102" s="21" t="s">
        <v>107</v>
      </c>
      <c r="J102" s="22"/>
      <c r="K102" s="22" t="s">
        <v>8</v>
      </c>
      <c r="L102" s="70"/>
      <c r="M102" s="26"/>
      <c r="N102" s="27"/>
      <c r="O102" s="21" t="s">
        <v>107</v>
      </c>
      <c r="P102" s="22"/>
      <c r="Q102" s="22" t="s">
        <v>8</v>
      </c>
      <c r="R102" s="70"/>
      <c r="S102" s="26"/>
      <c r="T102" s="27"/>
      <c r="U102" s="21" t="s">
        <v>107</v>
      </c>
      <c r="V102" s="22"/>
      <c r="W102" s="22" t="s">
        <v>8</v>
      </c>
      <c r="X102" s="70"/>
      <c r="Y102" s="26"/>
      <c r="Z102" s="27"/>
      <c r="AA102" s="21" t="s">
        <v>107</v>
      </c>
      <c r="AB102" s="22"/>
      <c r="AC102" s="22" t="s">
        <v>8</v>
      </c>
      <c r="AD102" s="70"/>
      <c r="AE102" s="26"/>
      <c r="AF102" s="27"/>
      <c r="AG102" s="21" t="s">
        <v>107</v>
      </c>
      <c r="AH102" s="22"/>
      <c r="AI102" s="22" t="s">
        <v>8</v>
      </c>
      <c r="AJ102" s="70"/>
      <c r="AK102" s="26"/>
      <c r="AL102" s="27"/>
      <c r="AM102" s="21" t="s">
        <v>107</v>
      </c>
      <c r="AN102" s="22"/>
      <c r="AO102" s="22" t="s">
        <v>8</v>
      </c>
      <c r="AP102" s="91"/>
      <c r="AQ102" s="91"/>
    </row>
    <row r="103" spans="1:43" ht="28.5" x14ac:dyDescent="0.25">
      <c r="A103" s="478"/>
      <c r="B103" s="478"/>
      <c r="C103" s="478"/>
      <c r="D103" s="478"/>
      <c r="E103" s="478"/>
      <c r="F103" s="478"/>
      <c r="G103" s="478"/>
      <c r="H103" s="478"/>
      <c r="I103" s="21" t="s">
        <v>108</v>
      </c>
      <c r="J103" s="22"/>
      <c r="K103" s="22" t="s">
        <v>8</v>
      </c>
      <c r="L103" s="70"/>
      <c r="M103" s="26"/>
      <c r="N103" s="27"/>
      <c r="O103" s="21" t="s">
        <v>108</v>
      </c>
      <c r="P103" s="22"/>
      <c r="Q103" s="22" t="s">
        <v>8</v>
      </c>
      <c r="R103" s="70"/>
      <c r="S103" s="26"/>
      <c r="T103" s="27"/>
      <c r="U103" s="21" t="s">
        <v>108</v>
      </c>
      <c r="V103" s="22"/>
      <c r="W103" s="22" t="s">
        <v>8</v>
      </c>
      <c r="X103" s="70"/>
      <c r="Y103" s="26"/>
      <c r="Z103" s="27"/>
      <c r="AA103" s="21" t="s">
        <v>108</v>
      </c>
      <c r="AB103" s="22"/>
      <c r="AC103" s="22" t="s">
        <v>8</v>
      </c>
      <c r="AD103" s="70"/>
      <c r="AE103" s="26"/>
      <c r="AF103" s="27"/>
      <c r="AG103" s="21" t="s">
        <v>108</v>
      </c>
      <c r="AH103" s="22"/>
      <c r="AI103" s="22" t="s">
        <v>8</v>
      </c>
      <c r="AJ103" s="70"/>
      <c r="AK103" s="26"/>
      <c r="AL103" s="27"/>
      <c r="AM103" s="21" t="s">
        <v>108</v>
      </c>
      <c r="AN103" s="22"/>
      <c r="AO103" s="22" t="s">
        <v>8</v>
      </c>
      <c r="AP103" s="91"/>
      <c r="AQ103" s="91"/>
    </row>
    <row r="104" spans="1:43" ht="42.75" x14ac:dyDescent="0.25">
      <c r="A104" s="478"/>
      <c r="B104" s="478"/>
      <c r="C104" s="478"/>
      <c r="D104" s="478"/>
      <c r="E104" s="478"/>
      <c r="F104" s="478"/>
      <c r="G104" s="478"/>
      <c r="H104" s="478"/>
      <c r="I104" s="21" t="s">
        <v>109</v>
      </c>
      <c r="J104" s="22"/>
      <c r="K104" s="22" t="s">
        <v>14</v>
      </c>
      <c r="L104" s="70"/>
      <c r="M104" s="26"/>
      <c r="N104" s="27"/>
      <c r="O104" s="21" t="s">
        <v>109</v>
      </c>
      <c r="P104" s="22">
        <v>210</v>
      </c>
      <c r="Q104" s="22" t="s">
        <v>14</v>
      </c>
      <c r="R104" s="70">
        <f>2.006*P104</f>
        <v>421.25999999999993</v>
      </c>
      <c r="S104" s="26"/>
      <c r="T104" s="27"/>
      <c r="U104" s="21" t="s">
        <v>109</v>
      </c>
      <c r="V104" s="22"/>
      <c r="W104" s="22" t="s">
        <v>14</v>
      </c>
      <c r="X104" s="70"/>
      <c r="Y104" s="26"/>
      <c r="Z104" s="27"/>
      <c r="AA104" s="21" t="s">
        <v>109</v>
      </c>
      <c r="AB104" s="22"/>
      <c r="AC104" s="22" t="s">
        <v>14</v>
      </c>
      <c r="AD104" s="70"/>
      <c r="AE104" s="26"/>
      <c r="AF104" s="27"/>
      <c r="AG104" s="21" t="s">
        <v>109</v>
      </c>
      <c r="AH104" s="22"/>
      <c r="AI104" s="22" t="s">
        <v>14</v>
      </c>
      <c r="AJ104" s="70"/>
      <c r="AK104" s="26"/>
      <c r="AL104" s="27"/>
      <c r="AM104" s="21" t="s">
        <v>109</v>
      </c>
      <c r="AN104" s="22"/>
      <c r="AO104" s="22" t="s">
        <v>14</v>
      </c>
      <c r="AP104" s="91"/>
      <c r="AQ104" s="91"/>
    </row>
    <row r="105" spans="1:43" ht="28.5" x14ac:dyDescent="0.25">
      <c r="A105" s="478"/>
      <c r="B105" s="478"/>
      <c r="C105" s="478"/>
      <c r="D105" s="478"/>
      <c r="E105" s="478"/>
      <c r="F105" s="478"/>
      <c r="G105" s="478"/>
      <c r="H105" s="478"/>
      <c r="I105" s="21" t="s">
        <v>110</v>
      </c>
      <c r="J105" s="22"/>
      <c r="K105" s="22" t="s">
        <v>16</v>
      </c>
      <c r="L105" s="70"/>
      <c r="M105" s="26"/>
      <c r="N105" s="27"/>
      <c r="O105" s="21" t="s">
        <v>110</v>
      </c>
      <c r="P105" s="22"/>
      <c r="Q105" s="22" t="s">
        <v>16</v>
      </c>
      <c r="R105" s="70"/>
      <c r="S105" s="26"/>
      <c r="T105" s="27"/>
      <c r="U105" s="21" t="s">
        <v>110</v>
      </c>
      <c r="V105" s="22"/>
      <c r="W105" s="22" t="s">
        <v>16</v>
      </c>
      <c r="X105" s="70"/>
      <c r="Y105" s="26"/>
      <c r="Z105" s="27"/>
      <c r="AA105" s="21" t="s">
        <v>110</v>
      </c>
      <c r="AB105" s="22"/>
      <c r="AC105" s="22" t="s">
        <v>16</v>
      </c>
      <c r="AD105" s="70"/>
      <c r="AE105" s="26"/>
      <c r="AF105" s="27"/>
      <c r="AG105" s="21" t="s">
        <v>110</v>
      </c>
      <c r="AH105" s="22"/>
      <c r="AI105" s="22" t="s">
        <v>16</v>
      </c>
      <c r="AJ105" s="70"/>
      <c r="AK105" s="26"/>
      <c r="AL105" s="27"/>
      <c r="AM105" s="21" t="s">
        <v>110</v>
      </c>
      <c r="AN105" s="22"/>
      <c r="AO105" s="22" t="s">
        <v>16</v>
      </c>
      <c r="AP105" s="91"/>
      <c r="AQ105" s="91"/>
    </row>
    <row r="106" spans="1:43" ht="71.25" x14ac:dyDescent="0.25">
      <c r="A106" s="478"/>
      <c r="B106" s="478"/>
      <c r="C106" s="478"/>
      <c r="D106" s="478"/>
      <c r="E106" s="478"/>
      <c r="F106" s="478"/>
      <c r="G106" s="478"/>
      <c r="H106" s="478"/>
      <c r="I106" s="21" t="s">
        <v>111</v>
      </c>
      <c r="J106" s="22">
        <v>1</v>
      </c>
      <c r="K106" s="22" t="s">
        <v>14</v>
      </c>
      <c r="L106" s="356">
        <v>2500</v>
      </c>
      <c r="M106" s="26"/>
      <c r="N106" s="27"/>
      <c r="O106" s="21" t="s">
        <v>111</v>
      </c>
      <c r="P106" s="22"/>
      <c r="Q106" s="22" t="s">
        <v>14</v>
      </c>
      <c r="R106" s="70"/>
      <c r="S106" s="26"/>
      <c r="T106" s="27"/>
      <c r="U106" s="21" t="s">
        <v>111</v>
      </c>
      <c r="V106" s="22"/>
      <c r="W106" s="22" t="s">
        <v>14</v>
      </c>
      <c r="X106" s="70"/>
      <c r="Y106" s="26"/>
      <c r="Z106" s="27"/>
      <c r="AA106" s="21" t="s">
        <v>111</v>
      </c>
      <c r="AB106" s="22"/>
      <c r="AC106" s="22" t="s">
        <v>14</v>
      </c>
      <c r="AD106" s="70"/>
      <c r="AE106" s="26"/>
      <c r="AF106" s="27"/>
      <c r="AG106" s="21" t="s">
        <v>111</v>
      </c>
      <c r="AH106" s="22"/>
      <c r="AI106" s="22" t="s">
        <v>14</v>
      </c>
      <c r="AJ106" s="70"/>
      <c r="AK106" s="26"/>
      <c r="AL106" s="27"/>
      <c r="AM106" s="21" t="s">
        <v>111</v>
      </c>
      <c r="AN106" s="22"/>
      <c r="AO106" s="22" t="s">
        <v>14</v>
      </c>
      <c r="AP106" s="91"/>
      <c r="AQ106" s="91"/>
    </row>
    <row r="107" spans="1:43" x14ac:dyDescent="0.25">
      <c r="A107" s="478"/>
      <c r="B107" s="478"/>
      <c r="C107" s="478"/>
      <c r="D107" s="478"/>
      <c r="E107" s="478"/>
      <c r="F107" s="478"/>
      <c r="G107" s="478"/>
      <c r="H107" s="478"/>
      <c r="I107" s="21" t="s">
        <v>45</v>
      </c>
      <c r="J107" s="22"/>
      <c r="K107" s="22"/>
      <c r="L107" s="70"/>
      <c r="M107" s="26"/>
      <c r="N107" s="27"/>
      <c r="O107" s="21" t="s">
        <v>45</v>
      </c>
      <c r="P107" s="22"/>
      <c r="Q107" s="22"/>
      <c r="R107" s="70"/>
      <c r="S107" s="26"/>
      <c r="T107" s="27"/>
      <c r="U107" s="21" t="s">
        <v>45</v>
      </c>
      <c r="V107" s="22"/>
      <c r="W107" s="22"/>
      <c r="X107" s="70"/>
      <c r="Y107" s="26"/>
      <c r="Z107" s="27"/>
      <c r="AA107" s="21" t="s">
        <v>45</v>
      </c>
      <c r="AB107" s="22"/>
      <c r="AC107" s="22"/>
      <c r="AD107" s="70"/>
      <c r="AE107" s="26"/>
      <c r="AF107" s="27"/>
      <c r="AG107" s="21" t="s">
        <v>45</v>
      </c>
      <c r="AH107" s="22"/>
      <c r="AI107" s="22"/>
      <c r="AJ107" s="70"/>
      <c r="AK107" s="26"/>
      <c r="AL107" s="27"/>
      <c r="AM107" s="21" t="s">
        <v>45</v>
      </c>
      <c r="AN107" s="22"/>
      <c r="AO107" s="22"/>
      <c r="AP107" s="91"/>
      <c r="AQ107" s="91"/>
    </row>
    <row r="108" spans="1:43" ht="15.75" customHeight="1" x14ac:dyDescent="0.25">
      <c r="A108" s="474" t="s">
        <v>97</v>
      </c>
      <c r="B108" s="475"/>
      <c r="C108" s="475"/>
      <c r="D108" s="475"/>
      <c r="E108" s="475"/>
      <c r="F108" s="475"/>
      <c r="G108" s="475"/>
      <c r="H108" s="475"/>
      <c r="I108" s="475"/>
      <c r="J108" s="475"/>
      <c r="K108" s="475"/>
      <c r="L108" s="475"/>
      <c r="M108" s="475"/>
      <c r="N108" s="475"/>
      <c r="O108" s="475"/>
      <c r="P108" s="475"/>
      <c r="Q108" s="475"/>
      <c r="R108" s="475"/>
      <c r="S108" s="475"/>
      <c r="T108" s="475"/>
      <c r="U108" s="475"/>
      <c r="V108" s="475"/>
      <c r="W108" s="475"/>
      <c r="X108" s="475"/>
      <c r="Y108" s="475"/>
      <c r="Z108" s="475"/>
      <c r="AA108" s="475"/>
      <c r="AB108" s="475"/>
      <c r="AC108" s="475"/>
      <c r="AD108" s="475"/>
      <c r="AE108" s="475"/>
      <c r="AF108" s="475"/>
      <c r="AG108" s="475"/>
      <c r="AH108" s="475"/>
      <c r="AI108" s="475"/>
      <c r="AJ108" s="475"/>
      <c r="AK108" s="475"/>
      <c r="AL108" s="475"/>
      <c r="AM108" s="475"/>
      <c r="AN108" s="475"/>
      <c r="AO108" s="475"/>
      <c r="AP108" s="475"/>
      <c r="AQ108" s="476"/>
    </row>
    <row r="109" spans="1:43" x14ac:dyDescent="0.25">
      <c r="A109" s="400">
        <v>1</v>
      </c>
      <c r="B109" s="455">
        <v>1948171</v>
      </c>
      <c r="C109" s="457" t="s">
        <v>167</v>
      </c>
      <c r="D109" s="459" t="s">
        <v>715</v>
      </c>
      <c r="E109" s="394" t="s">
        <v>145</v>
      </c>
      <c r="F109" s="394" t="s">
        <v>168</v>
      </c>
      <c r="G109" s="394" t="s">
        <v>145</v>
      </c>
      <c r="H109" s="394" t="s">
        <v>168</v>
      </c>
      <c r="I109" s="461" t="s">
        <v>42</v>
      </c>
      <c r="J109" s="139">
        <v>0</v>
      </c>
      <c r="K109" s="204" t="s">
        <v>5</v>
      </c>
      <c r="L109" s="463">
        <v>100000</v>
      </c>
      <c r="M109" s="34"/>
      <c r="N109" s="32"/>
      <c r="O109" s="32"/>
      <c r="P109" s="139">
        <v>5.032</v>
      </c>
      <c r="Q109" s="204" t="s">
        <v>5</v>
      </c>
      <c r="R109" s="463">
        <v>399000</v>
      </c>
      <c r="S109" s="36"/>
      <c r="T109" s="32"/>
      <c r="U109" s="20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92"/>
      <c r="AQ109" s="20"/>
    </row>
    <row r="110" spans="1:43" x14ac:dyDescent="0.25">
      <c r="A110" s="401"/>
      <c r="B110" s="456"/>
      <c r="C110" s="458"/>
      <c r="D110" s="460"/>
      <c r="E110" s="395"/>
      <c r="F110" s="395"/>
      <c r="G110" s="395"/>
      <c r="H110" s="395"/>
      <c r="I110" s="462"/>
      <c r="J110" s="139">
        <v>70448</v>
      </c>
      <c r="K110" s="204" t="s">
        <v>8</v>
      </c>
      <c r="L110" s="464"/>
      <c r="M110" s="34"/>
      <c r="N110" s="32"/>
      <c r="O110" s="32"/>
      <c r="P110" s="139">
        <v>70448</v>
      </c>
      <c r="Q110" s="204" t="s">
        <v>8</v>
      </c>
      <c r="R110" s="464"/>
      <c r="S110" s="36"/>
      <c r="T110" s="32"/>
      <c r="U110" s="20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92"/>
      <c r="AQ110" s="20"/>
    </row>
    <row r="111" spans="1:43" ht="13.9" customHeight="1" x14ac:dyDescent="0.25">
      <c r="A111" s="400">
        <v>2</v>
      </c>
      <c r="B111" s="398">
        <v>1948120</v>
      </c>
      <c r="C111" s="396" t="s">
        <v>769</v>
      </c>
      <c r="D111" s="392" t="s">
        <v>706</v>
      </c>
      <c r="E111" s="394" t="s">
        <v>145</v>
      </c>
      <c r="F111" s="392">
        <f t="shared" ref="F111" si="20">J112</f>
        <v>38220</v>
      </c>
      <c r="G111" s="394" t="s">
        <v>771</v>
      </c>
      <c r="H111" s="392" t="s">
        <v>772</v>
      </c>
      <c r="I111" s="390" t="s">
        <v>42</v>
      </c>
      <c r="J111" s="359">
        <v>5.46</v>
      </c>
      <c r="K111" s="204" t="s">
        <v>5</v>
      </c>
      <c r="L111" s="388">
        <v>61173.8</v>
      </c>
      <c r="M111" s="34"/>
      <c r="N111" s="32"/>
      <c r="O111" s="32"/>
      <c r="P111" s="359"/>
      <c r="Q111" s="204" t="s">
        <v>5</v>
      </c>
      <c r="R111" s="388"/>
      <c r="S111" s="36"/>
      <c r="T111" s="32"/>
      <c r="U111" s="32"/>
      <c r="V111" s="33"/>
      <c r="W111" s="32"/>
      <c r="X111" s="34"/>
      <c r="Y111" s="35"/>
      <c r="Z111" s="32"/>
      <c r="AA111" s="32"/>
      <c r="AB111" s="33"/>
      <c r="AC111" s="32"/>
      <c r="AD111" s="34"/>
      <c r="AE111" s="34"/>
      <c r="AF111" s="32"/>
      <c r="AG111" s="32"/>
      <c r="AH111" s="33"/>
      <c r="AI111" s="32"/>
      <c r="AJ111" s="34"/>
      <c r="AK111" s="34"/>
      <c r="AL111" s="32"/>
      <c r="AM111" s="32"/>
      <c r="AN111" s="33"/>
      <c r="AO111" s="32"/>
      <c r="AP111" s="35"/>
      <c r="AQ111" s="20"/>
    </row>
    <row r="112" spans="1:43" x14ac:dyDescent="0.25">
      <c r="A112" s="401"/>
      <c r="B112" s="399"/>
      <c r="C112" s="397"/>
      <c r="D112" s="393"/>
      <c r="E112" s="395"/>
      <c r="F112" s="393"/>
      <c r="G112" s="395"/>
      <c r="H112" s="393"/>
      <c r="I112" s="391"/>
      <c r="J112" s="359">
        <f>J111*7000</f>
        <v>38220</v>
      </c>
      <c r="K112" s="204" t="s">
        <v>8</v>
      </c>
      <c r="L112" s="389"/>
      <c r="M112" s="377"/>
      <c r="N112" s="378"/>
      <c r="O112" s="32"/>
      <c r="P112" s="359"/>
      <c r="Q112" s="204" t="s">
        <v>8</v>
      </c>
      <c r="R112" s="389"/>
      <c r="S112" s="379"/>
      <c r="T112" s="378"/>
      <c r="U112" s="32"/>
      <c r="V112" s="33"/>
      <c r="W112" s="32"/>
      <c r="X112" s="34"/>
      <c r="Y112" s="380"/>
      <c r="Z112" s="32"/>
      <c r="AA112" s="32"/>
      <c r="AB112" s="33"/>
      <c r="AC112" s="32"/>
      <c r="AD112" s="34"/>
      <c r="AE112" s="34"/>
      <c r="AF112" s="32"/>
      <c r="AG112" s="32"/>
      <c r="AH112" s="33"/>
      <c r="AI112" s="32"/>
      <c r="AJ112" s="34"/>
      <c r="AK112" s="34"/>
      <c r="AL112" s="32"/>
      <c r="AM112" s="32"/>
      <c r="AN112" s="33"/>
      <c r="AO112" s="32"/>
      <c r="AP112" s="35"/>
      <c r="AQ112" s="20"/>
    </row>
    <row r="113" spans="1:43" x14ac:dyDescent="0.25">
      <c r="A113" s="400">
        <v>3</v>
      </c>
      <c r="B113" s="398">
        <v>1948154</v>
      </c>
      <c r="C113" s="396" t="s">
        <v>760</v>
      </c>
      <c r="D113" s="392" t="s">
        <v>761</v>
      </c>
      <c r="E113" s="394" t="s">
        <v>145</v>
      </c>
      <c r="F113" s="392" t="s">
        <v>762</v>
      </c>
      <c r="G113" s="394" t="s">
        <v>145</v>
      </c>
      <c r="H113" s="392" t="s">
        <v>762</v>
      </c>
      <c r="I113" s="492" t="s">
        <v>42</v>
      </c>
      <c r="J113" s="139"/>
      <c r="K113" s="204" t="s">
        <v>5</v>
      </c>
      <c r="L113" s="388">
        <v>156592.20000000001</v>
      </c>
      <c r="M113" s="377"/>
      <c r="N113" s="378"/>
      <c r="O113" s="32"/>
      <c r="P113" s="139">
        <v>4</v>
      </c>
      <c r="Q113" s="204" t="s">
        <v>5</v>
      </c>
      <c r="R113" s="388">
        <v>160000</v>
      </c>
      <c r="S113" s="379"/>
      <c r="T113" s="378"/>
      <c r="U113" s="32"/>
      <c r="V113" s="33"/>
      <c r="W113" s="32"/>
      <c r="X113" s="34"/>
      <c r="Y113" s="380"/>
      <c r="Z113" s="32"/>
      <c r="AA113" s="32"/>
      <c r="AB113" s="33"/>
      <c r="AC113" s="32"/>
      <c r="AD113" s="34"/>
      <c r="AE113" s="34"/>
      <c r="AF113" s="32"/>
      <c r="AG113" s="32"/>
      <c r="AH113" s="33"/>
      <c r="AI113" s="32"/>
      <c r="AJ113" s="34"/>
      <c r="AK113" s="34"/>
      <c r="AL113" s="32"/>
      <c r="AM113" s="32"/>
      <c r="AN113" s="33"/>
      <c r="AO113" s="32"/>
      <c r="AP113" s="35"/>
      <c r="AQ113" s="20"/>
    </row>
    <row r="114" spans="1:43" x14ac:dyDescent="0.25">
      <c r="A114" s="401"/>
      <c r="B114" s="399"/>
      <c r="C114" s="397"/>
      <c r="D114" s="393"/>
      <c r="E114" s="395"/>
      <c r="F114" s="393"/>
      <c r="G114" s="395"/>
      <c r="H114" s="393"/>
      <c r="I114" s="493"/>
      <c r="J114" s="139">
        <f>J113*14000</f>
        <v>0</v>
      </c>
      <c r="K114" s="204" t="s">
        <v>8</v>
      </c>
      <c r="L114" s="389"/>
      <c r="M114" s="377"/>
      <c r="N114" s="378"/>
      <c r="O114" s="32"/>
      <c r="P114" s="139">
        <f>P113*14000</f>
        <v>56000</v>
      </c>
      <c r="Q114" s="204" t="s">
        <v>8</v>
      </c>
      <c r="R114" s="389"/>
      <c r="S114" s="379"/>
      <c r="T114" s="378"/>
      <c r="U114" s="32"/>
      <c r="V114" s="33"/>
      <c r="W114" s="32"/>
      <c r="X114" s="34"/>
      <c r="Y114" s="380"/>
      <c r="Z114" s="32"/>
      <c r="AA114" s="32"/>
      <c r="AB114" s="33"/>
      <c r="AC114" s="32"/>
      <c r="AD114" s="34"/>
      <c r="AE114" s="34"/>
      <c r="AF114" s="32"/>
      <c r="AG114" s="32"/>
      <c r="AH114" s="33"/>
      <c r="AI114" s="32"/>
      <c r="AJ114" s="34"/>
      <c r="AK114" s="34"/>
      <c r="AL114" s="32"/>
      <c r="AM114" s="32"/>
      <c r="AN114" s="33"/>
      <c r="AO114" s="32"/>
      <c r="AP114" s="35"/>
      <c r="AQ114" s="20"/>
    </row>
    <row r="115" spans="1:43" ht="13.9" customHeight="1" x14ac:dyDescent="0.25">
      <c r="A115" s="469" t="s">
        <v>21</v>
      </c>
      <c r="B115" s="470"/>
      <c r="C115" s="470"/>
      <c r="D115" s="471"/>
      <c r="E115" s="101"/>
      <c r="F115" s="101"/>
      <c r="G115" s="101"/>
      <c r="H115" s="101"/>
      <c r="I115" s="99"/>
      <c r="J115" s="102"/>
      <c r="K115" s="99"/>
      <c r="L115" s="103"/>
      <c r="M115" s="104"/>
      <c r="N115" s="105"/>
      <c r="O115" s="99"/>
      <c r="P115" s="102"/>
      <c r="Q115" s="99"/>
      <c r="R115" s="103"/>
      <c r="S115" s="106"/>
      <c r="T115" s="105"/>
      <c r="U115" s="99"/>
      <c r="V115" s="102"/>
      <c r="W115" s="99"/>
      <c r="X115" s="103"/>
      <c r="Y115" s="107"/>
      <c r="Z115" s="99"/>
      <c r="AA115" s="99"/>
      <c r="AB115" s="102"/>
      <c r="AC115" s="99"/>
      <c r="AD115" s="103"/>
      <c r="AE115" s="103"/>
      <c r="AF115" s="99"/>
      <c r="AG115" s="99"/>
      <c r="AH115" s="102"/>
      <c r="AI115" s="99"/>
      <c r="AJ115" s="103"/>
      <c r="AK115" s="103"/>
      <c r="AL115" s="99"/>
      <c r="AM115" s="99"/>
      <c r="AN115" s="102"/>
      <c r="AO115" s="99"/>
      <c r="AP115" s="336"/>
      <c r="AQ115" s="100"/>
    </row>
    <row r="116" spans="1:43" s="28" customFormat="1" x14ac:dyDescent="0.25">
      <c r="A116" s="479" t="s">
        <v>22</v>
      </c>
      <c r="B116" s="479"/>
      <c r="C116" s="479"/>
      <c r="D116" s="479"/>
      <c r="E116" s="479"/>
      <c r="F116" s="479"/>
      <c r="G116" s="479"/>
      <c r="H116" s="480"/>
      <c r="I116" s="483" t="s">
        <v>11</v>
      </c>
      <c r="J116" s="39"/>
      <c r="K116" s="39" t="s">
        <v>5</v>
      </c>
      <c r="L116" s="40"/>
      <c r="M116" s="41"/>
      <c r="N116" s="42"/>
      <c r="O116" s="483" t="s">
        <v>11</v>
      </c>
      <c r="P116" s="39"/>
      <c r="Q116" s="39" t="s">
        <v>5</v>
      </c>
      <c r="R116" s="40"/>
      <c r="S116" s="43"/>
      <c r="T116" s="42"/>
      <c r="U116" s="483" t="s">
        <v>11</v>
      </c>
      <c r="V116" s="39"/>
      <c r="W116" s="39" t="s">
        <v>5</v>
      </c>
      <c r="X116" s="39"/>
      <c r="Y116" s="41"/>
      <c r="Z116" s="42"/>
      <c r="AA116" s="483" t="s">
        <v>11</v>
      </c>
      <c r="AB116" s="39"/>
      <c r="AC116" s="39" t="s">
        <v>5</v>
      </c>
      <c r="AD116" s="39"/>
      <c r="AE116" s="41"/>
      <c r="AF116" s="42"/>
      <c r="AG116" s="483" t="s">
        <v>11</v>
      </c>
      <c r="AH116" s="39"/>
      <c r="AI116" s="39" t="s">
        <v>5</v>
      </c>
      <c r="AJ116" s="39"/>
      <c r="AK116" s="41"/>
      <c r="AL116" s="42"/>
      <c r="AM116" s="483" t="s">
        <v>11</v>
      </c>
      <c r="AN116" s="39"/>
      <c r="AO116" s="39" t="s">
        <v>5</v>
      </c>
      <c r="AP116" s="40"/>
      <c r="AQ116" s="40"/>
    </row>
    <row r="117" spans="1:43" s="28" customFormat="1" x14ac:dyDescent="0.25">
      <c r="A117" s="481"/>
      <c r="B117" s="481"/>
      <c r="C117" s="481"/>
      <c r="D117" s="481"/>
      <c r="E117" s="481"/>
      <c r="F117" s="481"/>
      <c r="G117" s="481"/>
      <c r="H117" s="482"/>
      <c r="I117" s="484"/>
      <c r="J117" s="39"/>
      <c r="K117" s="39" t="s">
        <v>8</v>
      </c>
      <c r="L117" s="40"/>
      <c r="M117" s="44"/>
      <c r="N117" s="45"/>
      <c r="O117" s="484"/>
      <c r="P117" s="39"/>
      <c r="Q117" s="39" t="s">
        <v>8</v>
      </c>
      <c r="R117" s="40"/>
      <c r="S117" s="46"/>
      <c r="T117" s="45"/>
      <c r="U117" s="484"/>
      <c r="V117" s="39"/>
      <c r="W117" s="39" t="s">
        <v>8</v>
      </c>
      <c r="X117" s="39"/>
      <c r="Y117" s="44"/>
      <c r="Z117" s="45"/>
      <c r="AA117" s="484"/>
      <c r="AB117" s="39"/>
      <c r="AC117" s="39" t="s">
        <v>8</v>
      </c>
      <c r="AD117" s="39"/>
      <c r="AE117" s="44"/>
      <c r="AF117" s="45"/>
      <c r="AG117" s="484"/>
      <c r="AH117" s="39"/>
      <c r="AI117" s="39" t="s">
        <v>8</v>
      </c>
      <c r="AJ117" s="39"/>
      <c r="AK117" s="44"/>
      <c r="AL117" s="45"/>
      <c r="AM117" s="484"/>
      <c r="AN117" s="39"/>
      <c r="AO117" s="39" t="s">
        <v>8</v>
      </c>
      <c r="AP117" s="40"/>
      <c r="AQ117" s="40"/>
    </row>
    <row r="118" spans="1:43" s="28" customFormat="1" x14ac:dyDescent="0.25">
      <c r="A118" s="481"/>
      <c r="B118" s="481"/>
      <c r="C118" s="481"/>
      <c r="D118" s="481"/>
      <c r="E118" s="481"/>
      <c r="F118" s="481"/>
      <c r="G118" s="481"/>
      <c r="H118" s="482"/>
      <c r="I118" s="483" t="s">
        <v>41</v>
      </c>
      <c r="J118" s="39"/>
      <c r="K118" s="39" t="s">
        <v>5</v>
      </c>
      <c r="L118" s="40"/>
      <c r="M118" s="44"/>
      <c r="N118" s="45"/>
      <c r="O118" s="483" t="s">
        <v>41</v>
      </c>
      <c r="P118" s="39"/>
      <c r="Q118" s="39" t="s">
        <v>5</v>
      </c>
      <c r="R118" s="40"/>
      <c r="S118" s="46"/>
      <c r="T118" s="45"/>
      <c r="U118" s="483" t="s">
        <v>41</v>
      </c>
      <c r="V118" s="39"/>
      <c r="W118" s="39" t="s">
        <v>5</v>
      </c>
      <c r="X118" s="39"/>
      <c r="Y118" s="44"/>
      <c r="Z118" s="45"/>
      <c r="AA118" s="483" t="s">
        <v>41</v>
      </c>
      <c r="AB118" s="39"/>
      <c r="AC118" s="39" t="s">
        <v>5</v>
      </c>
      <c r="AD118" s="39"/>
      <c r="AE118" s="44"/>
      <c r="AF118" s="45"/>
      <c r="AG118" s="483" t="s">
        <v>41</v>
      </c>
      <c r="AH118" s="39"/>
      <c r="AI118" s="39" t="s">
        <v>5</v>
      </c>
      <c r="AJ118" s="39"/>
      <c r="AK118" s="44"/>
      <c r="AL118" s="45"/>
      <c r="AM118" s="483" t="s">
        <v>41</v>
      </c>
      <c r="AN118" s="39"/>
      <c r="AO118" s="39" t="s">
        <v>5</v>
      </c>
      <c r="AP118" s="40"/>
      <c r="AQ118" s="40"/>
    </row>
    <row r="119" spans="1:43" s="28" customFormat="1" x14ac:dyDescent="0.25">
      <c r="A119" s="481"/>
      <c r="B119" s="481"/>
      <c r="C119" s="481"/>
      <c r="D119" s="481"/>
      <c r="E119" s="481"/>
      <c r="F119" s="481"/>
      <c r="G119" s="481"/>
      <c r="H119" s="482"/>
      <c r="I119" s="484"/>
      <c r="J119" s="39"/>
      <c r="K119" s="39" t="s">
        <v>8</v>
      </c>
      <c r="L119" s="40"/>
      <c r="M119" s="44"/>
      <c r="N119" s="45"/>
      <c r="O119" s="484"/>
      <c r="P119" s="39"/>
      <c r="Q119" s="39" t="s">
        <v>8</v>
      </c>
      <c r="R119" s="40"/>
      <c r="S119" s="46"/>
      <c r="T119" s="45"/>
      <c r="U119" s="484"/>
      <c r="V119" s="39"/>
      <c r="W119" s="39" t="s">
        <v>8</v>
      </c>
      <c r="X119" s="39"/>
      <c r="Y119" s="44"/>
      <c r="Z119" s="45"/>
      <c r="AA119" s="484"/>
      <c r="AB119" s="39"/>
      <c r="AC119" s="39" t="s">
        <v>8</v>
      </c>
      <c r="AD119" s="39"/>
      <c r="AE119" s="44"/>
      <c r="AF119" s="45"/>
      <c r="AG119" s="484"/>
      <c r="AH119" s="39"/>
      <c r="AI119" s="39" t="s">
        <v>8</v>
      </c>
      <c r="AJ119" s="39"/>
      <c r="AK119" s="44"/>
      <c r="AL119" s="45"/>
      <c r="AM119" s="484"/>
      <c r="AN119" s="39"/>
      <c r="AO119" s="39" t="s">
        <v>8</v>
      </c>
      <c r="AP119" s="40"/>
      <c r="AQ119" s="40"/>
    </row>
    <row r="120" spans="1:43" s="28" customFormat="1" x14ac:dyDescent="0.25">
      <c r="A120" s="481"/>
      <c r="B120" s="481"/>
      <c r="C120" s="481"/>
      <c r="D120" s="481"/>
      <c r="E120" s="481"/>
      <c r="F120" s="481"/>
      <c r="G120" s="481"/>
      <c r="H120" s="482"/>
      <c r="I120" s="483" t="s">
        <v>42</v>
      </c>
      <c r="J120" s="39">
        <f>J109+J111+J113</f>
        <v>5.46</v>
      </c>
      <c r="K120" s="39" t="s">
        <v>5</v>
      </c>
      <c r="L120" s="487">
        <f>L109+L111+L113</f>
        <v>317766</v>
      </c>
      <c r="M120" s="44"/>
      <c r="N120" s="45"/>
      <c r="O120" s="483" t="s">
        <v>42</v>
      </c>
      <c r="P120" s="39">
        <f>P109+P111+P113</f>
        <v>9.032</v>
      </c>
      <c r="Q120" s="39" t="s">
        <v>5</v>
      </c>
      <c r="R120" s="487">
        <f>R109+R111+R113</f>
        <v>559000</v>
      </c>
      <c r="S120" s="46"/>
      <c r="T120" s="45"/>
      <c r="U120" s="483" t="s">
        <v>42</v>
      </c>
      <c r="V120" s="39"/>
      <c r="W120" s="39" t="s">
        <v>5</v>
      </c>
      <c r="X120" s="39"/>
      <c r="Y120" s="44"/>
      <c r="Z120" s="45"/>
      <c r="AA120" s="483" t="s">
        <v>42</v>
      </c>
      <c r="AB120" s="39"/>
      <c r="AC120" s="39" t="s">
        <v>5</v>
      </c>
      <c r="AD120" s="39"/>
      <c r="AE120" s="44"/>
      <c r="AF120" s="45"/>
      <c r="AG120" s="483" t="s">
        <v>42</v>
      </c>
      <c r="AH120" s="39"/>
      <c r="AI120" s="39" t="s">
        <v>5</v>
      </c>
      <c r="AJ120" s="39"/>
      <c r="AK120" s="44"/>
      <c r="AL120" s="45"/>
      <c r="AM120" s="483" t="s">
        <v>42</v>
      </c>
      <c r="AN120" s="39"/>
      <c r="AO120" s="39" t="s">
        <v>5</v>
      </c>
      <c r="AP120" s="40"/>
      <c r="AQ120" s="40"/>
    </row>
    <row r="121" spans="1:43" s="28" customFormat="1" x14ac:dyDescent="0.25">
      <c r="A121" s="481"/>
      <c r="B121" s="481"/>
      <c r="C121" s="481"/>
      <c r="D121" s="481"/>
      <c r="E121" s="481"/>
      <c r="F121" s="481"/>
      <c r="G121" s="481"/>
      <c r="H121" s="482"/>
      <c r="I121" s="484"/>
      <c r="J121" s="39">
        <f>J110+J112+J114</f>
        <v>108668</v>
      </c>
      <c r="K121" s="39" t="s">
        <v>8</v>
      </c>
      <c r="L121" s="486"/>
      <c r="M121" s="44"/>
      <c r="N121" s="45"/>
      <c r="O121" s="484"/>
      <c r="P121" s="39">
        <f>P110+P112+P114</f>
        <v>126448</v>
      </c>
      <c r="Q121" s="39" t="s">
        <v>8</v>
      </c>
      <c r="R121" s="486"/>
      <c r="S121" s="46"/>
      <c r="T121" s="45"/>
      <c r="U121" s="484"/>
      <c r="V121" s="39"/>
      <c r="W121" s="39" t="s">
        <v>8</v>
      </c>
      <c r="X121" s="39"/>
      <c r="Y121" s="44"/>
      <c r="Z121" s="45"/>
      <c r="AA121" s="484"/>
      <c r="AB121" s="39"/>
      <c r="AC121" s="39" t="s">
        <v>8</v>
      </c>
      <c r="AD121" s="39"/>
      <c r="AE121" s="44"/>
      <c r="AF121" s="45"/>
      <c r="AG121" s="484"/>
      <c r="AH121" s="39"/>
      <c r="AI121" s="39" t="s">
        <v>8</v>
      </c>
      <c r="AJ121" s="39"/>
      <c r="AK121" s="44"/>
      <c r="AL121" s="45"/>
      <c r="AM121" s="484"/>
      <c r="AN121" s="39"/>
      <c r="AO121" s="39" t="s">
        <v>8</v>
      </c>
      <c r="AP121" s="40"/>
      <c r="AQ121" s="40"/>
    </row>
    <row r="122" spans="1:43" s="28" customFormat="1" x14ac:dyDescent="0.25">
      <c r="A122" s="481"/>
      <c r="B122" s="481"/>
      <c r="C122" s="481"/>
      <c r="D122" s="481"/>
      <c r="E122" s="481"/>
      <c r="F122" s="481"/>
      <c r="G122" s="481"/>
      <c r="H122" s="482"/>
      <c r="I122" s="483" t="s">
        <v>43</v>
      </c>
      <c r="J122" s="39"/>
      <c r="K122" s="39" t="s">
        <v>5</v>
      </c>
      <c r="L122" s="40"/>
      <c r="M122" s="44"/>
      <c r="N122" s="45"/>
      <c r="O122" s="483" t="s">
        <v>43</v>
      </c>
      <c r="P122" s="39"/>
      <c r="Q122" s="39" t="s">
        <v>5</v>
      </c>
      <c r="R122" s="40"/>
      <c r="S122" s="46"/>
      <c r="T122" s="45"/>
      <c r="U122" s="483" t="s">
        <v>43</v>
      </c>
      <c r="V122" s="39"/>
      <c r="W122" s="39" t="s">
        <v>5</v>
      </c>
      <c r="X122" s="39"/>
      <c r="Y122" s="44"/>
      <c r="Z122" s="45"/>
      <c r="AA122" s="483" t="s">
        <v>43</v>
      </c>
      <c r="AB122" s="39"/>
      <c r="AC122" s="39" t="s">
        <v>5</v>
      </c>
      <c r="AD122" s="39"/>
      <c r="AE122" s="44"/>
      <c r="AF122" s="45"/>
      <c r="AG122" s="483" t="s">
        <v>43</v>
      </c>
      <c r="AH122" s="39"/>
      <c r="AI122" s="39" t="s">
        <v>5</v>
      </c>
      <c r="AJ122" s="39"/>
      <c r="AK122" s="44"/>
      <c r="AL122" s="45"/>
      <c r="AM122" s="483" t="s">
        <v>43</v>
      </c>
      <c r="AN122" s="39"/>
      <c r="AO122" s="39" t="s">
        <v>5</v>
      </c>
      <c r="AP122" s="40"/>
      <c r="AQ122" s="40"/>
    </row>
    <row r="123" spans="1:43" s="28" customFormat="1" x14ac:dyDescent="0.25">
      <c r="A123" s="481"/>
      <c r="B123" s="481"/>
      <c r="C123" s="481"/>
      <c r="D123" s="481"/>
      <c r="E123" s="481"/>
      <c r="F123" s="481"/>
      <c r="G123" s="481"/>
      <c r="H123" s="482"/>
      <c r="I123" s="484"/>
      <c r="J123" s="39"/>
      <c r="K123" s="39" t="s">
        <v>8</v>
      </c>
      <c r="L123" s="40"/>
      <c r="M123" s="44"/>
      <c r="N123" s="45"/>
      <c r="O123" s="484"/>
      <c r="P123" s="39"/>
      <c r="Q123" s="39" t="s">
        <v>8</v>
      </c>
      <c r="R123" s="40"/>
      <c r="S123" s="46"/>
      <c r="T123" s="45"/>
      <c r="U123" s="484"/>
      <c r="V123" s="39"/>
      <c r="W123" s="39" t="s">
        <v>8</v>
      </c>
      <c r="X123" s="39"/>
      <c r="Y123" s="44"/>
      <c r="Z123" s="45"/>
      <c r="AA123" s="484"/>
      <c r="AB123" s="39"/>
      <c r="AC123" s="39" t="s">
        <v>8</v>
      </c>
      <c r="AD123" s="39"/>
      <c r="AE123" s="44"/>
      <c r="AF123" s="45"/>
      <c r="AG123" s="484"/>
      <c r="AH123" s="39"/>
      <c r="AI123" s="39" t="s">
        <v>8</v>
      </c>
      <c r="AJ123" s="39"/>
      <c r="AK123" s="44"/>
      <c r="AL123" s="45"/>
      <c r="AM123" s="484"/>
      <c r="AN123" s="39"/>
      <c r="AO123" s="39" t="s">
        <v>8</v>
      </c>
      <c r="AP123" s="40"/>
      <c r="AQ123" s="40"/>
    </row>
    <row r="124" spans="1:43" s="28" customFormat="1" x14ac:dyDescent="0.25">
      <c r="A124" s="481"/>
      <c r="B124" s="481"/>
      <c r="C124" s="481"/>
      <c r="D124" s="481"/>
      <c r="E124" s="481"/>
      <c r="F124" s="481"/>
      <c r="G124" s="481"/>
      <c r="H124" s="482"/>
      <c r="I124" s="485" t="s">
        <v>12</v>
      </c>
      <c r="J124" s="39">
        <f>J120*0.1*3*1000</f>
        <v>1638.0000000000002</v>
      </c>
      <c r="K124" s="39" t="s">
        <v>8</v>
      </c>
      <c r="L124" s="485">
        <f>J125*22</f>
        <v>1201.2</v>
      </c>
      <c r="M124" s="44"/>
      <c r="N124" s="45"/>
      <c r="O124" s="485" t="s">
        <v>12</v>
      </c>
      <c r="P124" s="39">
        <f>P120*0.1*3*1000</f>
        <v>2709.6</v>
      </c>
      <c r="Q124" s="39" t="s">
        <v>8</v>
      </c>
      <c r="R124" s="485">
        <f>P125*22</f>
        <v>1987.04</v>
      </c>
      <c r="S124" s="46"/>
      <c r="T124" s="45"/>
      <c r="U124" s="485" t="s">
        <v>12</v>
      </c>
      <c r="V124" s="39"/>
      <c r="W124" s="39" t="s">
        <v>8</v>
      </c>
      <c r="X124" s="485"/>
      <c r="Y124" s="44"/>
      <c r="Z124" s="45"/>
      <c r="AA124" s="485" t="s">
        <v>12</v>
      </c>
      <c r="AB124" s="39"/>
      <c r="AC124" s="39" t="s">
        <v>8</v>
      </c>
      <c r="AD124" s="485"/>
      <c r="AE124" s="44"/>
      <c r="AF124" s="45"/>
      <c r="AG124" s="485" t="s">
        <v>12</v>
      </c>
      <c r="AH124" s="39"/>
      <c r="AI124" s="39" t="s">
        <v>8</v>
      </c>
      <c r="AJ124" s="485"/>
      <c r="AK124" s="44"/>
      <c r="AL124" s="45"/>
      <c r="AM124" s="485" t="s">
        <v>12</v>
      </c>
      <c r="AN124" s="39"/>
      <c r="AO124" s="39" t="s">
        <v>8</v>
      </c>
      <c r="AP124" s="485"/>
      <c r="AQ124" s="40"/>
    </row>
    <row r="125" spans="1:43" s="28" customFormat="1" x14ac:dyDescent="0.25">
      <c r="A125" s="481"/>
      <c r="B125" s="481"/>
      <c r="C125" s="481"/>
      <c r="D125" s="481"/>
      <c r="E125" s="481"/>
      <c r="F125" s="481"/>
      <c r="G125" s="481"/>
      <c r="H125" s="482"/>
      <c r="I125" s="486"/>
      <c r="J125" s="39">
        <f>J120*10</f>
        <v>54.6</v>
      </c>
      <c r="K125" s="39" t="s">
        <v>5</v>
      </c>
      <c r="L125" s="486"/>
      <c r="M125" s="44"/>
      <c r="N125" s="45"/>
      <c r="O125" s="486"/>
      <c r="P125" s="39">
        <f>P120*10</f>
        <v>90.32</v>
      </c>
      <c r="Q125" s="39" t="s">
        <v>5</v>
      </c>
      <c r="R125" s="486"/>
      <c r="S125" s="46"/>
      <c r="T125" s="45"/>
      <c r="U125" s="486"/>
      <c r="V125" s="39"/>
      <c r="W125" s="39" t="s">
        <v>5</v>
      </c>
      <c r="X125" s="486"/>
      <c r="Y125" s="44"/>
      <c r="Z125" s="45"/>
      <c r="AA125" s="486"/>
      <c r="AB125" s="39"/>
      <c r="AC125" s="39" t="s">
        <v>5</v>
      </c>
      <c r="AD125" s="486"/>
      <c r="AE125" s="44"/>
      <c r="AF125" s="45"/>
      <c r="AG125" s="486"/>
      <c r="AH125" s="39"/>
      <c r="AI125" s="39" t="s">
        <v>5</v>
      </c>
      <c r="AJ125" s="486"/>
      <c r="AK125" s="44"/>
      <c r="AL125" s="45"/>
      <c r="AM125" s="486"/>
      <c r="AN125" s="39"/>
      <c r="AO125" s="39" t="s">
        <v>5</v>
      </c>
      <c r="AP125" s="486"/>
      <c r="AQ125" s="40"/>
    </row>
    <row r="126" spans="1:43" s="28" customFormat="1" ht="42.75" x14ac:dyDescent="0.25">
      <c r="A126" s="481"/>
      <c r="B126" s="481"/>
      <c r="C126" s="481"/>
      <c r="D126" s="481"/>
      <c r="E126" s="481"/>
      <c r="F126" s="481"/>
      <c r="G126" s="481"/>
      <c r="H126" s="482"/>
      <c r="I126" s="38" t="s">
        <v>13</v>
      </c>
      <c r="J126" s="39"/>
      <c r="K126" s="39" t="s">
        <v>14</v>
      </c>
      <c r="L126" s="40"/>
      <c r="M126" s="44"/>
      <c r="N126" s="45"/>
      <c r="O126" s="38" t="s">
        <v>13</v>
      </c>
      <c r="P126" s="39"/>
      <c r="Q126" s="39" t="s">
        <v>14</v>
      </c>
      <c r="R126" s="40"/>
      <c r="S126" s="46"/>
      <c r="T126" s="45"/>
      <c r="U126" s="38" t="s">
        <v>13</v>
      </c>
      <c r="V126" s="39"/>
      <c r="W126" s="39" t="s">
        <v>14</v>
      </c>
      <c r="X126" s="39"/>
      <c r="Y126" s="44"/>
      <c r="Z126" s="45"/>
      <c r="AA126" s="38" t="s">
        <v>13</v>
      </c>
      <c r="AB126" s="39"/>
      <c r="AC126" s="39" t="s">
        <v>14</v>
      </c>
      <c r="AD126" s="39"/>
      <c r="AE126" s="44"/>
      <c r="AF126" s="45"/>
      <c r="AG126" s="38" t="s">
        <v>13</v>
      </c>
      <c r="AH126" s="39"/>
      <c r="AI126" s="39" t="s">
        <v>14</v>
      </c>
      <c r="AJ126" s="39"/>
      <c r="AK126" s="44"/>
      <c r="AL126" s="45"/>
      <c r="AM126" s="38" t="s">
        <v>13</v>
      </c>
      <c r="AN126" s="39"/>
      <c r="AO126" s="39" t="s">
        <v>14</v>
      </c>
      <c r="AP126" s="40"/>
      <c r="AQ126" s="40"/>
    </row>
    <row r="127" spans="1:43" s="28" customFormat="1" ht="28.5" x14ac:dyDescent="0.25">
      <c r="A127" s="481"/>
      <c r="B127" s="481"/>
      <c r="C127" s="481"/>
      <c r="D127" s="481"/>
      <c r="E127" s="481"/>
      <c r="F127" s="481"/>
      <c r="G127" s="481"/>
      <c r="H127" s="482"/>
      <c r="I127" s="38" t="s">
        <v>44</v>
      </c>
      <c r="J127" s="39"/>
      <c r="K127" s="39" t="s">
        <v>14</v>
      </c>
      <c r="L127" s="40"/>
      <c r="M127" s="44"/>
      <c r="N127" s="45"/>
      <c r="O127" s="38" t="s">
        <v>44</v>
      </c>
      <c r="P127" s="39"/>
      <c r="Q127" s="39" t="s">
        <v>14</v>
      </c>
      <c r="R127" s="40"/>
      <c r="S127" s="46"/>
      <c r="T127" s="45"/>
      <c r="U127" s="38" t="s">
        <v>44</v>
      </c>
      <c r="V127" s="39"/>
      <c r="W127" s="39" t="s">
        <v>14</v>
      </c>
      <c r="X127" s="39"/>
      <c r="Y127" s="44"/>
      <c r="Z127" s="45"/>
      <c r="AA127" s="38" t="s">
        <v>44</v>
      </c>
      <c r="AB127" s="39"/>
      <c r="AC127" s="39" t="s">
        <v>14</v>
      </c>
      <c r="AD127" s="39"/>
      <c r="AE127" s="44"/>
      <c r="AF127" s="45"/>
      <c r="AG127" s="38" t="s">
        <v>44</v>
      </c>
      <c r="AH127" s="39"/>
      <c r="AI127" s="39" t="s">
        <v>14</v>
      </c>
      <c r="AJ127" s="39"/>
      <c r="AK127" s="44"/>
      <c r="AL127" s="45"/>
      <c r="AM127" s="38" t="s">
        <v>44</v>
      </c>
      <c r="AN127" s="39"/>
      <c r="AO127" s="39" t="s">
        <v>14</v>
      </c>
      <c r="AP127" s="40"/>
      <c r="AQ127" s="40"/>
    </row>
    <row r="128" spans="1:43" s="28" customFormat="1" ht="42.75" x14ac:dyDescent="0.25">
      <c r="A128" s="481"/>
      <c r="B128" s="481"/>
      <c r="C128" s="481"/>
      <c r="D128" s="481"/>
      <c r="E128" s="481"/>
      <c r="F128" s="481"/>
      <c r="G128" s="481"/>
      <c r="H128" s="482"/>
      <c r="I128" s="38" t="s">
        <v>15</v>
      </c>
      <c r="J128" s="39"/>
      <c r="K128" s="39" t="s">
        <v>16</v>
      </c>
      <c r="L128" s="40"/>
      <c r="M128" s="44"/>
      <c r="N128" s="45"/>
      <c r="O128" s="38" t="s">
        <v>15</v>
      </c>
      <c r="P128" s="39"/>
      <c r="Q128" s="39" t="s">
        <v>16</v>
      </c>
      <c r="R128" s="40"/>
      <c r="S128" s="46"/>
      <c r="T128" s="45"/>
      <c r="U128" s="38" t="s">
        <v>15</v>
      </c>
      <c r="V128" s="39"/>
      <c r="W128" s="39" t="s">
        <v>16</v>
      </c>
      <c r="X128" s="39"/>
      <c r="Y128" s="44"/>
      <c r="Z128" s="45"/>
      <c r="AA128" s="38" t="s">
        <v>15</v>
      </c>
      <c r="AB128" s="39"/>
      <c r="AC128" s="39" t="s">
        <v>16</v>
      </c>
      <c r="AD128" s="39"/>
      <c r="AE128" s="44"/>
      <c r="AF128" s="45"/>
      <c r="AG128" s="38" t="s">
        <v>15</v>
      </c>
      <c r="AH128" s="39"/>
      <c r="AI128" s="39" t="s">
        <v>16</v>
      </c>
      <c r="AJ128" s="39"/>
      <c r="AK128" s="44"/>
      <c r="AL128" s="45"/>
      <c r="AM128" s="38" t="s">
        <v>15</v>
      </c>
      <c r="AN128" s="39"/>
      <c r="AO128" s="39" t="s">
        <v>16</v>
      </c>
      <c r="AP128" s="40"/>
      <c r="AQ128" s="40"/>
    </row>
    <row r="129" spans="1:43" s="28" customFormat="1" x14ac:dyDescent="0.25">
      <c r="A129" s="481"/>
      <c r="B129" s="481"/>
      <c r="C129" s="481"/>
      <c r="D129" s="481"/>
      <c r="E129" s="481"/>
      <c r="F129" s="481"/>
      <c r="G129" s="481"/>
      <c r="H129" s="482"/>
      <c r="I129" s="38" t="s">
        <v>17</v>
      </c>
      <c r="J129" s="39"/>
      <c r="K129" s="39" t="s">
        <v>8</v>
      </c>
      <c r="L129" s="40"/>
      <c r="M129" s="44"/>
      <c r="N129" s="45"/>
      <c r="O129" s="38" t="s">
        <v>17</v>
      </c>
      <c r="P129" s="39"/>
      <c r="Q129" s="39" t="s">
        <v>8</v>
      </c>
      <c r="R129" s="40"/>
      <c r="S129" s="46"/>
      <c r="T129" s="45"/>
      <c r="U129" s="38" t="s">
        <v>17</v>
      </c>
      <c r="V129" s="39"/>
      <c r="W129" s="39" t="s">
        <v>8</v>
      </c>
      <c r="X129" s="39"/>
      <c r="Y129" s="44"/>
      <c r="Z129" s="45"/>
      <c r="AA129" s="38" t="s">
        <v>17</v>
      </c>
      <c r="AB129" s="39"/>
      <c r="AC129" s="39" t="s">
        <v>8</v>
      </c>
      <c r="AD129" s="39"/>
      <c r="AE129" s="44"/>
      <c r="AF129" s="45"/>
      <c r="AG129" s="38" t="s">
        <v>17</v>
      </c>
      <c r="AH129" s="39"/>
      <c r="AI129" s="39" t="s">
        <v>8</v>
      </c>
      <c r="AJ129" s="39"/>
      <c r="AK129" s="44"/>
      <c r="AL129" s="45"/>
      <c r="AM129" s="38" t="s">
        <v>17</v>
      </c>
      <c r="AN129" s="39"/>
      <c r="AO129" s="39" t="s">
        <v>8</v>
      </c>
      <c r="AP129" s="40"/>
      <c r="AQ129" s="40"/>
    </row>
    <row r="130" spans="1:43" s="28" customFormat="1" ht="28.5" x14ac:dyDescent="0.25">
      <c r="A130" s="481"/>
      <c r="B130" s="481"/>
      <c r="C130" s="481"/>
      <c r="D130" s="481"/>
      <c r="E130" s="481"/>
      <c r="F130" s="481"/>
      <c r="G130" s="481"/>
      <c r="H130" s="482"/>
      <c r="I130" s="38" t="s">
        <v>18</v>
      </c>
      <c r="J130" s="39"/>
      <c r="K130" s="39" t="s">
        <v>16</v>
      </c>
      <c r="L130" s="40"/>
      <c r="M130" s="44"/>
      <c r="N130" s="45"/>
      <c r="O130" s="38" t="s">
        <v>18</v>
      </c>
      <c r="P130" s="39"/>
      <c r="Q130" s="39" t="s">
        <v>16</v>
      </c>
      <c r="R130" s="40"/>
      <c r="S130" s="46"/>
      <c r="T130" s="45"/>
      <c r="U130" s="38" t="s">
        <v>18</v>
      </c>
      <c r="V130" s="39"/>
      <c r="W130" s="39" t="s">
        <v>16</v>
      </c>
      <c r="X130" s="39"/>
      <c r="Y130" s="44"/>
      <c r="Z130" s="45"/>
      <c r="AA130" s="38" t="s">
        <v>18</v>
      </c>
      <c r="AB130" s="39"/>
      <c r="AC130" s="39" t="s">
        <v>16</v>
      </c>
      <c r="AD130" s="39"/>
      <c r="AE130" s="44"/>
      <c r="AF130" s="45"/>
      <c r="AG130" s="38" t="s">
        <v>18</v>
      </c>
      <c r="AH130" s="39"/>
      <c r="AI130" s="39" t="s">
        <v>16</v>
      </c>
      <c r="AJ130" s="39"/>
      <c r="AK130" s="44"/>
      <c r="AL130" s="45"/>
      <c r="AM130" s="38" t="s">
        <v>18</v>
      </c>
      <c r="AN130" s="39"/>
      <c r="AO130" s="39" t="s">
        <v>16</v>
      </c>
      <c r="AP130" s="40"/>
      <c r="AQ130" s="40"/>
    </row>
    <row r="131" spans="1:43" s="28" customFormat="1" ht="43.5" thickBot="1" x14ac:dyDescent="0.3">
      <c r="A131" s="481"/>
      <c r="B131" s="481"/>
      <c r="C131" s="481"/>
      <c r="D131" s="481"/>
      <c r="E131" s="481"/>
      <c r="F131" s="481"/>
      <c r="G131" s="481"/>
      <c r="H131" s="482"/>
      <c r="I131" s="38" t="s">
        <v>46</v>
      </c>
      <c r="J131" s="39"/>
      <c r="K131" s="39" t="s">
        <v>16</v>
      </c>
      <c r="L131" s="47"/>
      <c r="M131" s="48"/>
      <c r="N131" s="49"/>
      <c r="O131" s="38" t="s">
        <v>46</v>
      </c>
      <c r="P131" s="39"/>
      <c r="Q131" s="39" t="s">
        <v>16</v>
      </c>
      <c r="R131" s="47"/>
      <c r="S131" s="50"/>
      <c r="T131" s="51"/>
      <c r="U131" s="38" t="s">
        <v>46</v>
      </c>
      <c r="V131" s="39"/>
      <c r="W131" s="39" t="s">
        <v>16</v>
      </c>
      <c r="X131" s="52"/>
      <c r="Y131" s="53"/>
      <c r="Z131" s="51"/>
      <c r="AA131" s="38" t="s">
        <v>46</v>
      </c>
      <c r="AB131" s="39"/>
      <c r="AC131" s="39" t="s">
        <v>16</v>
      </c>
      <c r="AD131" s="52"/>
      <c r="AE131" s="53"/>
      <c r="AF131" s="51"/>
      <c r="AG131" s="38" t="s">
        <v>46</v>
      </c>
      <c r="AH131" s="39"/>
      <c r="AI131" s="39" t="s">
        <v>16</v>
      </c>
      <c r="AJ131" s="52"/>
      <c r="AK131" s="53"/>
      <c r="AL131" s="51"/>
      <c r="AM131" s="38" t="s">
        <v>46</v>
      </c>
      <c r="AN131" s="39"/>
      <c r="AO131" s="39" t="s">
        <v>16</v>
      </c>
      <c r="AP131" s="93"/>
      <c r="AQ131" s="40"/>
    </row>
    <row r="132" spans="1:43" s="28" customFormat="1" ht="28.5" x14ac:dyDescent="0.25">
      <c r="A132" s="481"/>
      <c r="B132" s="481"/>
      <c r="C132" s="481"/>
      <c r="D132" s="481"/>
      <c r="E132" s="481"/>
      <c r="F132" s="481"/>
      <c r="G132" s="481"/>
      <c r="H132" s="482"/>
      <c r="I132" s="38" t="s">
        <v>106</v>
      </c>
      <c r="J132" s="39"/>
      <c r="K132" s="39" t="s">
        <v>8</v>
      </c>
      <c r="L132" s="126"/>
      <c r="M132" s="126"/>
      <c r="N132" s="126"/>
      <c r="O132" s="38" t="s">
        <v>106</v>
      </c>
      <c r="P132" s="39"/>
      <c r="Q132" s="39" t="s">
        <v>8</v>
      </c>
      <c r="R132" s="126"/>
      <c r="S132" s="126"/>
      <c r="T132" s="126"/>
      <c r="U132" s="38" t="s">
        <v>106</v>
      </c>
      <c r="V132" s="39"/>
      <c r="W132" s="39" t="s">
        <v>8</v>
      </c>
      <c r="X132" s="126"/>
      <c r="Y132" s="126"/>
      <c r="Z132" s="126"/>
      <c r="AA132" s="38" t="s">
        <v>106</v>
      </c>
      <c r="AB132" s="39"/>
      <c r="AC132" s="39" t="s">
        <v>8</v>
      </c>
      <c r="AD132" s="126"/>
      <c r="AE132" s="126"/>
      <c r="AF132" s="126"/>
      <c r="AG132" s="38" t="s">
        <v>106</v>
      </c>
      <c r="AH132" s="39"/>
      <c r="AI132" s="39" t="s">
        <v>8</v>
      </c>
      <c r="AJ132" s="126"/>
      <c r="AK132" s="126"/>
      <c r="AL132" s="126"/>
      <c r="AM132" s="38" t="s">
        <v>106</v>
      </c>
      <c r="AN132" s="39"/>
      <c r="AO132" s="39" t="s">
        <v>8</v>
      </c>
      <c r="AP132" s="126"/>
      <c r="AQ132" s="40"/>
    </row>
    <row r="133" spans="1:43" s="28" customFormat="1" ht="42.75" x14ac:dyDescent="0.25">
      <c r="A133" s="481"/>
      <c r="B133" s="481"/>
      <c r="C133" s="481"/>
      <c r="D133" s="481"/>
      <c r="E133" s="481"/>
      <c r="F133" s="481"/>
      <c r="G133" s="481"/>
      <c r="H133" s="482"/>
      <c r="I133" s="38" t="s">
        <v>107</v>
      </c>
      <c r="J133" s="39"/>
      <c r="K133" s="39" t="s">
        <v>8</v>
      </c>
      <c r="L133" s="126"/>
      <c r="M133" s="126"/>
      <c r="N133" s="126"/>
      <c r="O133" s="38" t="s">
        <v>107</v>
      </c>
      <c r="P133" s="39"/>
      <c r="Q133" s="39" t="s">
        <v>8</v>
      </c>
      <c r="R133" s="126"/>
      <c r="S133" s="126"/>
      <c r="T133" s="126"/>
      <c r="U133" s="38" t="s">
        <v>107</v>
      </c>
      <c r="V133" s="39"/>
      <c r="W133" s="39" t="s">
        <v>8</v>
      </c>
      <c r="X133" s="126"/>
      <c r="Y133" s="126"/>
      <c r="Z133" s="126"/>
      <c r="AA133" s="38" t="s">
        <v>107</v>
      </c>
      <c r="AB133" s="39"/>
      <c r="AC133" s="39" t="s">
        <v>8</v>
      </c>
      <c r="AD133" s="126"/>
      <c r="AE133" s="126"/>
      <c r="AF133" s="126"/>
      <c r="AG133" s="38" t="s">
        <v>107</v>
      </c>
      <c r="AH133" s="39"/>
      <c r="AI133" s="39" t="s">
        <v>8</v>
      </c>
      <c r="AJ133" s="126"/>
      <c r="AK133" s="126"/>
      <c r="AL133" s="126"/>
      <c r="AM133" s="38" t="s">
        <v>107</v>
      </c>
      <c r="AN133" s="39"/>
      <c r="AO133" s="39" t="s">
        <v>8</v>
      </c>
      <c r="AP133" s="126"/>
      <c r="AQ133" s="40"/>
    </row>
    <row r="134" spans="1:43" s="28" customFormat="1" ht="28.5" x14ac:dyDescent="0.25">
      <c r="A134" s="481"/>
      <c r="B134" s="481"/>
      <c r="C134" s="481"/>
      <c r="D134" s="481"/>
      <c r="E134" s="481"/>
      <c r="F134" s="481"/>
      <c r="G134" s="481"/>
      <c r="H134" s="482"/>
      <c r="I134" s="38" t="s">
        <v>108</v>
      </c>
      <c r="J134" s="39"/>
      <c r="K134" s="39" t="s">
        <v>8</v>
      </c>
      <c r="L134" s="126"/>
      <c r="M134" s="126"/>
      <c r="N134" s="126"/>
      <c r="O134" s="38" t="s">
        <v>108</v>
      </c>
      <c r="P134" s="39"/>
      <c r="Q134" s="39" t="s">
        <v>8</v>
      </c>
      <c r="R134" s="126"/>
      <c r="S134" s="126"/>
      <c r="T134" s="126"/>
      <c r="U134" s="38" t="s">
        <v>108</v>
      </c>
      <c r="V134" s="39"/>
      <c r="W134" s="39" t="s">
        <v>8</v>
      </c>
      <c r="X134" s="126"/>
      <c r="Y134" s="126"/>
      <c r="Z134" s="126"/>
      <c r="AA134" s="38" t="s">
        <v>108</v>
      </c>
      <c r="AB134" s="39"/>
      <c r="AC134" s="39" t="s">
        <v>8</v>
      </c>
      <c r="AD134" s="126"/>
      <c r="AE134" s="126"/>
      <c r="AF134" s="126"/>
      <c r="AG134" s="38" t="s">
        <v>108</v>
      </c>
      <c r="AH134" s="39"/>
      <c r="AI134" s="39" t="s">
        <v>8</v>
      </c>
      <c r="AJ134" s="126"/>
      <c r="AK134" s="126"/>
      <c r="AL134" s="126"/>
      <c r="AM134" s="38" t="s">
        <v>108</v>
      </c>
      <c r="AN134" s="39"/>
      <c r="AO134" s="39" t="s">
        <v>8</v>
      </c>
      <c r="AP134" s="126"/>
      <c r="AQ134" s="40"/>
    </row>
    <row r="135" spans="1:43" s="28" customFormat="1" ht="42.75" x14ac:dyDescent="0.25">
      <c r="A135" s="481"/>
      <c r="B135" s="481"/>
      <c r="C135" s="481"/>
      <c r="D135" s="481"/>
      <c r="E135" s="481"/>
      <c r="F135" s="481"/>
      <c r="G135" s="481"/>
      <c r="H135" s="482"/>
      <c r="I135" s="38" t="s">
        <v>109</v>
      </c>
      <c r="J135" s="39"/>
      <c r="K135" s="39" t="s">
        <v>14</v>
      </c>
      <c r="L135" s="126"/>
      <c r="M135" s="126"/>
      <c r="N135" s="126"/>
      <c r="O135" s="38" t="s">
        <v>109</v>
      </c>
      <c r="P135" s="39"/>
      <c r="Q135" s="39" t="s">
        <v>14</v>
      </c>
      <c r="R135" s="126"/>
      <c r="S135" s="126"/>
      <c r="T135" s="126"/>
      <c r="U135" s="38" t="s">
        <v>109</v>
      </c>
      <c r="V135" s="39"/>
      <c r="W135" s="39" t="s">
        <v>14</v>
      </c>
      <c r="X135" s="126"/>
      <c r="Y135" s="126"/>
      <c r="Z135" s="126"/>
      <c r="AA135" s="38" t="s">
        <v>109</v>
      </c>
      <c r="AB135" s="39"/>
      <c r="AC135" s="39" t="s">
        <v>14</v>
      </c>
      <c r="AD135" s="126"/>
      <c r="AE135" s="126"/>
      <c r="AF135" s="126"/>
      <c r="AG135" s="38" t="s">
        <v>109</v>
      </c>
      <c r="AH135" s="39"/>
      <c r="AI135" s="39" t="s">
        <v>14</v>
      </c>
      <c r="AJ135" s="126"/>
      <c r="AK135" s="126"/>
      <c r="AL135" s="126"/>
      <c r="AM135" s="38" t="s">
        <v>109</v>
      </c>
      <c r="AN135" s="39"/>
      <c r="AO135" s="39" t="s">
        <v>14</v>
      </c>
      <c r="AP135" s="126"/>
      <c r="AQ135" s="40"/>
    </row>
    <row r="136" spans="1:43" s="28" customFormat="1" ht="28.5" x14ac:dyDescent="0.25">
      <c r="A136" s="481"/>
      <c r="B136" s="481"/>
      <c r="C136" s="481"/>
      <c r="D136" s="481"/>
      <c r="E136" s="481"/>
      <c r="F136" s="481"/>
      <c r="G136" s="481"/>
      <c r="H136" s="482"/>
      <c r="I136" s="38" t="s">
        <v>110</v>
      </c>
      <c r="J136" s="39"/>
      <c r="K136" s="39" t="s">
        <v>16</v>
      </c>
      <c r="L136" s="126"/>
      <c r="M136" s="126"/>
      <c r="N136" s="126"/>
      <c r="O136" s="38" t="s">
        <v>110</v>
      </c>
      <c r="P136" s="39"/>
      <c r="Q136" s="39" t="s">
        <v>16</v>
      </c>
      <c r="R136" s="126"/>
      <c r="S136" s="126"/>
      <c r="T136" s="126"/>
      <c r="U136" s="38" t="s">
        <v>110</v>
      </c>
      <c r="V136" s="39"/>
      <c r="W136" s="39" t="s">
        <v>16</v>
      </c>
      <c r="X136" s="126"/>
      <c r="Y136" s="126"/>
      <c r="Z136" s="126"/>
      <c r="AA136" s="38" t="s">
        <v>110</v>
      </c>
      <c r="AB136" s="39"/>
      <c r="AC136" s="39" t="s">
        <v>16</v>
      </c>
      <c r="AD136" s="126"/>
      <c r="AE136" s="126"/>
      <c r="AF136" s="126"/>
      <c r="AG136" s="38" t="s">
        <v>110</v>
      </c>
      <c r="AH136" s="39"/>
      <c r="AI136" s="39" t="s">
        <v>16</v>
      </c>
      <c r="AJ136" s="126"/>
      <c r="AK136" s="126"/>
      <c r="AL136" s="126"/>
      <c r="AM136" s="38" t="s">
        <v>110</v>
      </c>
      <c r="AN136" s="39"/>
      <c r="AO136" s="39" t="s">
        <v>16</v>
      </c>
      <c r="AP136" s="126"/>
      <c r="AQ136" s="40"/>
    </row>
    <row r="137" spans="1:43" s="28" customFormat="1" ht="71.25" x14ac:dyDescent="0.25">
      <c r="A137" s="481"/>
      <c r="B137" s="481"/>
      <c r="C137" s="481"/>
      <c r="D137" s="481"/>
      <c r="E137" s="481"/>
      <c r="F137" s="481"/>
      <c r="G137" s="481"/>
      <c r="H137" s="482"/>
      <c r="I137" s="38" t="s">
        <v>111</v>
      </c>
      <c r="J137" s="39"/>
      <c r="K137" s="39" t="s">
        <v>14</v>
      </c>
      <c r="L137" s="126"/>
      <c r="M137" s="126"/>
      <c r="N137" s="126"/>
      <c r="O137" s="38" t="s">
        <v>111</v>
      </c>
      <c r="P137" s="39"/>
      <c r="Q137" s="39" t="s">
        <v>14</v>
      </c>
      <c r="R137" s="126"/>
      <c r="S137" s="126"/>
      <c r="T137" s="126"/>
      <c r="U137" s="38" t="s">
        <v>111</v>
      </c>
      <c r="V137" s="39"/>
      <c r="W137" s="39" t="s">
        <v>14</v>
      </c>
      <c r="X137" s="126"/>
      <c r="Y137" s="126"/>
      <c r="Z137" s="126"/>
      <c r="AA137" s="38" t="s">
        <v>111</v>
      </c>
      <c r="AB137" s="39"/>
      <c r="AC137" s="39" t="s">
        <v>14</v>
      </c>
      <c r="AD137" s="126"/>
      <c r="AE137" s="126"/>
      <c r="AF137" s="126"/>
      <c r="AG137" s="38" t="s">
        <v>111</v>
      </c>
      <c r="AH137" s="39"/>
      <c r="AI137" s="39" t="s">
        <v>14</v>
      </c>
      <c r="AJ137" s="126"/>
      <c r="AK137" s="126"/>
      <c r="AL137" s="126"/>
      <c r="AM137" s="38" t="s">
        <v>111</v>
      </c>
      <c r="AN137" s="39"/>
      <c r="AO137" s="39" t="s">
        <v>14</v>
      </c>
      <c r="AP137" s="126"/>
      <c r="AQ137" s="40"/>
    </row>
    <row r="138" spans="1:43" s="28" customFormat="1" x14ac:dyDescent="0.25">
      <c r="A138" s="481"/>
      <c r="B138" s="481"/>
      <c r="C138" s="481"/>
      <c r="D138" s="481"/>
      <c r="E138" s="481"/>
      <c r="F138" s="481"/>
      <c r="G138" s="481"/>
      <c r="H138" s="482"/>
      <c r="I138" s="38" t="s">
        <v>45</v>
      </c>
      <c r="J138" s="39"/>
      <c r="K138" s="39"/>
      <c r="O138" s="38" t="s">
        <v>45</v>
      </c>
      <c r="P138" s="39"/>
      <c r="Q138" s="39"/>
      <c r="U138" s="38" t="s">
        <v>45</v>
      </c>
      <c r="V138" s="39"/>
      <c r="W138" s="39"/>
      <c r="AA138" s="38" t="s">
        <v>45</v>
      </c>
      <c r="AB138" s="39"/>
      <c r="AC138" s="39"/>
      <c r="AG138" s="38" t="s">
        <v>45</v>
      </c>
      <c r="AH138" s="39"/>
      <c r="AI138" s="39"/>
      <c r="AM138" s="38" t="s">
        <v>45</v>
      </c>
      <c r="AN138" s="39"/>
      <c r="AO138" s="39"/>
      <c r="AQ138" s="40"/>
    </row>
  </sheetData>
  <sheetProtection selectLockedCells="1" selectUnlockedCells="1"/>
  <mergeCells count="725">
    <mergeCell ref="AK76:AK77"/>
    <mergeCell ref="AL76:AL77"/>
    <mergeCell ref="AM76:AM77"/>
    <mergeCell ref="AP76:AP77"/>
    <mergeCell ref="R91:R92"/>
    <mergeCell ref="R89:R90"/>
    <mergeCell ref="X91:X92"/>
    <mergeCell ref="AD91:AD92"/>
    <mergeCell ref="AJ91:AJ92"/>
    <mergeCell ref="AP91:AP92"/>
    <mergeCell ref="X76:X77"/>
    <mergeCell ref="Y76:Y77"/>
    <mergeCell ref="Z76:Z77"/>
    <mergeCell ref="AA76:AA77"/>
    <mergeCell ref="AD76:AD77"/>
    <mergeCell ref="AE76:AE77"/>
    <mergeCell ref="AF76:AF77"/>
    <mergeCell ref="AG76:AG77"/>
    <mergeCell ref="AJ76:AJ77"/>
    <mergeCell ref="AA89:AA90"/>
    <mergeCell ref="AG89:AG90"/>
    <mergeCell ref="AM89:AM90"/>
    <mergeCell ref="AA91:AA92"/>
    <mergeCell ref="AG91:AG92"/>
    <mergeCell ref="R109:R110"/>
    <mergeCell ref="S76:S77"/>
    <mergeCell ref="T76:T77"/>
    <mergeCell ref="U76:U77"/>
    <mergeCell ref="D113:D114"/>
    <mergeCell ref="E113:E114"/>
    <mergeCell ref="F113:F114"/>
    <mergeCell ref="G113:G114"/>
    <mergeCell ref="H113:H114"/>
    <mergeCell ref="I113:I114"/>
    <mergeCell ref="L113:L114"/>
    <mergeCell ref="U89:U90"/>
    <mergeCell ref="I91:I92"/>
    <mergeCell ref="O91:O92"/>
    <mergeCell ref="U91:U92"/>
    <mergeCell ref="L76:L77"/>
    <mergeCell ref="A84:D84"/>
    <mergeCell ref="A76:A77"/>
    <mergeCell ref="B76:B77"/>
    <mergeCell ref="C76:C77"/>
    <mergeCell ref="R111:R112"/>
    <mergeCell ref="R113:R114"/>
    <mergeCell ref="M76:M77"/>
    <mergeCell ref="N76:N77"/>
    <mergeCell ref="D109:D110"/>
    <mergeCell ref="E109:E110"/>
    <mergeCell ref="F109:F110"/>
    <mergeCell ref="G109:G110"/>
    <mergeCell ref="H109:H110"/>
    <mergeCell ref="I109:I110"/>
    <mergeCell ref="L109:L110"/>
    <mergeCell ref="D111:D112"/>
    <mergeCell ref="E111:E112"/>
    <mergeCell ref="F111:F112"/>
    <mergeCell ref="G111:G112"/>
    <mergeCell ref="H111:H112"/>
    <mergeCell ref="I111:I112"/>
    <mergeCell ref="L111:L112"/>
    <mergeCell ref="AJ124:AJ125"/>
    <mergeCell ref="AM124:AM125"/>
    <mergeCell ref="AP124:AP125"/>
    <mergeCell ref="I124:I125"/>
    <mergeCell ref="L124:L125"/>
    <mergeCell ref="O124:O125"/>
    <mergeCell ref="R124:R125"/>
    <mergeCell ref="U124:U125"/>
    <mergeCell ref="X124:X125"/>
    <mergeCell ref="AM120:AM121"/>
    <mergeCell ref="I122:I123"/>
    <mergeCell ref="O122:O123"/>
    <mergeCell ref="U122:U123"/>
    <mergeCell ref="AA122:AA123"/>
    <mergeCell ref="AG122:AG123"/>
    <mergeCell ref="AM122:AM123"/>
    <mergeCell ref="AM116:AM117"/>
    <mergeCell ref="I118:I119"/>
    <mergeCell ref="O118:O119"/>
    <mergeCell ref="U118:U119"/>
    <mergeCell ref="AA118:AA119"/>
    <mergeCell ref="AG118:AG119"/>
    <mergeCell ref="AM118:AM119"/>
    <mergeCell ref="L120:L121"/>
    <mergeCell ref="R120:R121"/>
    <mergeCell ref="A116:H138"/>
    <mergeCell ref="I116:I117"/>
    <mergeCell ref="O116:O117"/>
    <mergeCell ref="U116:U117"/>
    <mergeCell ref="AA116:AA117"/>
    <mergeCell ref="AG116:AG117"/>
    <mergeCell ref="I120:I121"/>
    <mergeCell ref="O120:O121"/>
    <mergeCell ref="U120:U121"/>
    <mergeCell ref="AA120:AA121"/>
    <mergeCell ref="AG120:AG121"/>
    <mergeCell ref="AA124:AA125"/>
    <mergeCell ref="AD124:AD125"/>
    <mergeCell ref="AG124:AG125"/>
    <mergeCell ref="A115:D115"/>
    <mergeCell ref="AG93:AG94"/>
    <mergeCell ref="AJ93:AJ94"/>
    <mergeCell ref="AM93:AM94"/>
    <mergeCell ref="AP93:AP94"/>
    <mergeCell ref="A108:AQ108"/>
    <mergeCell ref="O93:O94"/>
    <mergeCell ref="R93:R94"/>
    <mergeCell ref="U93:U94"/>
    <mergeCell ref="X93:X94"/>
    <mergeCell ref="AA93:AA94"/>
    <mergeCell ref="AD93:AD94"/>
    <mergeCell ref="A85:H107"/>
    <mergeCell ref="I93:I94"/>
    <mergeCell ref="L93:L94"/>
    <mergeCell ref="A109:A110"/>
    <mergeCell ref="B109:B110"/>
    <mergeCell ref="C109:C110"/>
    <mergeCell ref="A111:A112"/>
    <mergeCell ref="B111:B112"/>
    <mergeCell ref="C111:C112"/>
    <mergeCell ref="A113:A114"/>
    <mergeCell ref="B113:B114"/>
    <mergeCell ref="C113:C114"/>
    <mergeCell ref="AM91:AM92"/>
    <mergeCell ref="U85:U86"/>
    <mergeCell ref="AA85:AA86"/>
    <mergeCell ref="AG85:AG86"/>
    <mergeCell ref="AM85:AM86"/>
    <mergeCell ref="I87:I88"/>
    <mergeCell ref="O87:O88"/>
    <mergeCell ref="U87:U88"/>
    <mergeCell ref="AA87:AA88"/>
    <mergeCell ref="AG87:AG88"/>
    <mergeCell ref="AM87:AM88"/>
    <mergeCell ref="I85:I86"/>
    <mergeCell ref="O85:O86"/>
    <mergeCell ref="I89:I90"/>
    <mergeCell ref="O89:O90"/>
    <mergeCell ref="R82:R83"/>
    <mergeCell ref="O82:O83"/>
    <mergeCell ref="N82:N83"/>
    <mergeCell ref="D76:D77"/>
    <mergeCell ref="E76:E77"/>
    <mergeCell ref="F76:F77"/>
    <mergeCell ref="G76:G77"/>
    <mergeCell ref="H76:H77"/>
    <mergeCell ref="I76:I77"/>
    <mergeCell ref="E78:E79"/>
    <mergeCell ref="E80:E81"/>
    <mergeCell ref="D82:D83"/>
    <mergeCell ref="O76:O77"/>
    <mergeCell ref="R76:R77"/>
    <mergeCell ref="M82:M83"/>
    <mergeCell ref="R78:R79"/>
    <mergeCell ref="O78:O79"/>
    <mergeCell ref="N78:N79"/>
    <mergeCell ref="M78:M79"/>
    <mergeCell ref="R80:R81"/>
    <mergeCell ref="O80:O81"/>
    <mergeCell ref="N80:N81"/>
    <mergeCell ref="M80:M81"/>
    <mergeCell ref="A72:AQ72"/>
    <mergeCell ref="A73:AP73"/>
    <mergeCell ref="A74:A75"/>
    <mergeCell ref="B74:B75"/>
    <mergeCell ref="C74:C75"/>
    <mergeCell ref="D74:D75"/>
    <mergeCell ref="E74:E75"/>
    <mergeCell ref="F74:F75"/>
    <mergeCell ref="G74:G75"/>
    <mergeCell ref="H74:H75"/>
    <mergeCell ref="I74:I75"/>
    <mergeCell ref="L74:L75"/>
    <mergeCell ref="M74:M75"/>
    <mergeCell ref="N74:N75"/>
    <mergeCell ref="O74:O75"/>
    <mergeCell ref="R74:R75"/>
    <mergeCell ref="T74:T75"/>
    <mergeCell ref="U74:U75"/>
    <mergeCell ref="S74:S75"/>
    <mergeCell ref="AA57:AA58"/>
    <mergeCell ref="AD57:AD58"/>
    <mergeCell ref="AG57:AG58"/>
    <mergeCell ref="AJ57:AJ58"/>
    <mergeCell ref="AM57:AM58"/>
    <mergeCell ref="AP57:AP58"/>
    <mergeCell ref="I57:I58"/>
    <mergeCell ref="L57:L58"/>
    <mergeCell ref="O57:O58"/>
    <mergeCell ref="R57:R58"/>
    <mergeCell ref="U57:U58"/>
    <mergeCell ref="X57:X58"/>
    <mergeCell ref="I55:I56"/>
    <mergeCell ref="O55:O56"/>
    <mergeCell ref="U55:U56"/>
    <mergeCell ref="AA55:AA56"/>
    <mergeCell ref="AG55:AG56"/>
    <mergeCell ref="AM55:AM56"/>
    <mergeCell ref="I53:I54"/>
    <mergeCell ref="O53:O54"/>
    <mergeCell ref="U53:U54"/>
    <mergeCell ref="AA53:AA54"/>
    <mergeCell ref="AG53:AG54"/>
    <mergeCell ref="AM53:AM54"/>
    <mergeCell ref="R53:R54"/>
    <mergeCell ref="AM49:AM50"/>
    <mergeCell ref="I51:I52"/>
    <mergeCell ref="O51:O52"/>
    <mergeCell ref="U51:U52"/>
    <mergeCell ref="AA51:AA52"/>
    <mergeCell ref="AG51:AG52"/>
    <mergeCell ref="AM51:AM52"/>
    <mergeCell ref="AL45:AL46"/>
    <mergeCell ref="AM45:AM46"/>
    <mergeCell ref="R45:R46"/>
    <mergeCell ref="S45:S46"/>
    <mergeCell ref="R51:R52"/>
    <mergeCell ref="R49:R50"/>
    <mergeCell ref="AP45:AP46"/>
    <mergeCell ref="A48:D48"/>
    <mergeCell ref="A49:H71"/>
    <mergeCell ref="I49:I50"/>
    <mergeCell ref="O49:O50"/>
    <mergeCell ref="U49:U50"/>
    <mergeCell ref="AA49:AA50"/>
    <mergeCell ref="AG49:AG50"/>
    <mergeCell ref="AD45:AD46"/>
    <mergeCell ref="AE45:AE46"/>
    <mergeCell ref="AF45:AF46"/>
    <mergeCell ref="AG45:AG46"/>
    <mergeCell ref="AJ45:AJ46"/>
    <mergeCell ref="AK45:AK46"/>
    <mergeCell ref="T45:T46"/>
    <mergeCell ref="U45:U46"/>
    <mergeCell ref="X45:X46"/>
    <mergeCell ref="Y45:Y46"/>
    <mergeCell ref="Z45:Z46"/>
    <mergeCell ref="AA45:AA46"/>
    <mergeCell ref="L45:L46"/>
    <mergeCell ref="M45:M46"/>
    <mergeCell ref="N45:N46"/>
    <mergeCell ref="O45:O46"/>
    <mergeCell ref="AP43:AP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AF43:AF44"/>
    <mergeCell ref="AG43:AG44"/>
    <mergeCell ref="AJ43:AJ44"/>
    <mergeCell ref="AK43:AK44"/>
    <mergeCell ref="AL43:AL44"/>
    <mergeCell ref="AM43:AM44"/>
    <mergeCell ref="X43:X44"/>
    <mergeCell ref="Y43:Y44"/>
    <mergeCell ref="Z43:Z44"/>
    <mergeCell ref="AA43:AA44"/>
    <mergeCell ref="AD43:AD44"/>
    <mergeCell ref="AE43:AE44"/>
    <mergeCell ref="N43:N44"/>
    <mergeCell ref="O43:O44"/>
    <mergeCell ref="R43:R44"/>
    <mergeCell ref="S43:S44"/>
    <mergeCell ref="T43:T44"/>
    <mergeCell ref="U43:U44"/>
    <mergeCell ref="F43:F44"/>
    <mergeCell ref="G43:G44"/>
    <mergeCell ref="H43:H44"/>
    <mergeCell ref="I43:I44"/>
    <mergeCell ref="L43:L44"/>
    <mergeCell ref="M43:M44"/>
    <mergeCell ref="AJ41:AJ42"/>
    <mergeCell ref="AK41:AK42"/>
    <mergeCell ref="AL41:AL42"/>
    <mergeCell ref="AM41:AM42"/>
    <mergeCell ref="AP41:AP42"/>
    <mergeCell ref="A43:A44"/>
    <mergeCell ref="B43:B44"/>
    <mergeCell ref="C43:C44"/>
    <mergeCell ref="D43:D44"/>
    <mergeCell ref="E43:E44"/>
    <mergeCell ref="Z41:Z42"/>
    <mergeCell ref="AA41:AA42"/>
    <mergeCell ref="AD41:AD42"/>
    <mergeCell ref="AE41:AE42"/>
    <mergeCell ref="AF41:AF42"/>
    <mergeCell ref="AG41:AG42"/>
    <mergeCell ref="R41:R42"/>
    <mergeCell ref="S41:S42"/>
    <mergeCell ref="T41:T42"/>
    <mergeCell ref="U41:U42"/>
    <mergeCell ref="X41:X42"/>
    <mergeCell ref="Y41:Y42"/>
    <mergeCell ref="H41:H42"/>
    <mergeCell ref="I41:I42"/>
    <mergeCell ref="L41:L42"/>
    <mergeCell ref="M41:M42"/>
    <mergeCell ref="N41:N42"/>
    <mergeCell ref="O41:O42"/>
    <mergeCell ref="AL39:AL40"/>
    <mergeCell ref="AM39:AM40"/>
    <mergeCell ref="AP39:AP40"/>
    <mergeCell ref="A41:A42"/>
    <mergeCell ref="B41:B42"/>
    <mergeCell ref="C41:C42"/>
    <mergeCell ref="D41:D42"/>
    <mergeCell ref="E41:E42"/>
    <mergeCell ref="F41:F42"/>
    <mergeCell ref="G41:G42"/>
    <mergeCell ref="AD39:AD40"/>
    <mergeCell ref="AE39:AE40"/>
    <mergeCell ref="AF39:AF40"/>
    <mergeCell ref="AG39:AG40"/>
    <mergeCell ref="AJ39:AJ40"/>
    <mergeCell ref="AK39:AK40"/>
    <mergeCell ref="T39:T40"/>
    <mergeCell ref="U39:U40"/>
    <mergeCell ref="X39:X40"/>
    <mergeCell ref="Y39:Y40"/>
    <mergeCell ref="Z39:Z40"/>
    <mergeCell ref="AA39:AA40"/>
    <mergeCell ref="L39:L40"/>
    <mergeCell ref="M39:M40"/>
    <mergeCell ref="N39:N40"/>
    <mergeCell ref="O39:O40"/>
    <mergeCell ref="R39:R40"/>
    <mergeCell ref="S39:S40"/>
    <mergeCell ref="AP37:AP38"/>
    <mergeCell ref="AF37:AF38"/>
    <mergeCell ref="AG37:AG38"/>
    <mergeCell ref="AJ37:AJ38"/>
    <mergeCell ref="AK37:AK38"/>
    <mergeCell ref="AL37:AL38"/>
    <mergeCell ref="AM37:AM38"/>
    <mergeCell ref="X37:X38"/>
    <mergeCell ref="Y37:Y38"/>
    <mergeCell ref="Z37:Z38"/>
    <mergeCell ref="AA37:AA38"/>
    <mergeCell ref="AD37:AD38"/>
    <mergeCell ref="AE37:AE38"/>
    <mergeCell ref="N37:N38"/>
    <mergeCell ref="O37:O38"/>
    <mergeCell ref="R37:R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S37:S38"/>
    <mergeCell ref="T37:T38"/>
    <mergeCell ref="U37:U38"/>
    <mergeCell ref="F37:F38"/>
    <mergeCell ref="G37:G38"/>
    <mergeCell ref="H37:H38"/>
    <mergeCell ref="I37:I38"/>
    <mergeCell ref="L37:L38"/>
    <mergeCell ref="M37:M38"/>
    <mergeCell ref="AJ35:AJ36"/>
    <mergeCell ref="AK35:AK36"/>
    <mergeCell ref="AL35:AL36"/>
    <mergeCell ref="AM35:AM36"/>
    <mergeCell ref="AP35:AP36"/>
    <mergeCell ref="A37:A38"/>
    <mergeCell ref="B37:B38"/>
    <mergeCell ref="C37:C38"/>
    <mergeCell ref="D37:D38"/>
    <mergeCell ref="E37:E38"/>
    <mergeCell ref="Z35:Z36"/>
    <mergeCell ref="AA35:AA36"/>
    <mergeCell ref="AD35:AD36"/>
    <mergeCell ref="AE35:AE36"/>
    <mergeCell ref="AF35:AF36"/>
    <mergeCell ref="AG35:AG36"/>
    <mergeCell ref="R35:R36"/>
    <mergeCell ref="S35:S36"/>
    <mergeCell ref="T35:T36"/>
    <mergeCell ref="U35:U36"/>
    <mergeCell ref="X35:X36"/>
    <mergeCell ref="Y35:Y36"/>
    <mergeCell ref="H35:H36"/>
    <mergeCell ref="I35:I36"/>
    <mergeCell ref="L35:L36"/>
    <mergeCell ref="M35:M36"/>
    <mergeCell ref="N35:N36"/>
    <mergeCell ref="O35:O36"/>
    <mergeCell ref="AL33:AL34"/>
    <mergeCell ref="AM33:AM34"/>
    <mergeCell ref="AP33:AP34"/>
    <mergeCell ref="A35:A36"/>
    <mergeCell ref="B35:B36"/>
    <mergeCell ref="C35:C36"/>
    <mergeCell ref="D35:D36"/>
    <mergeCell ref="E35:E36"/>
    <mergeCell ref="F35:F36"/>
    <mergeCell ref="G35:G36"/>
    <mergeCell ref="AD33:AD34"/>
    <mergeCell ref="AE33:AE34"/>
    <mergeCell ref="AF33:AF34"/>
    <mergeCell ref="AG33:AG34"/>
    <mergeCell ref="AJ33:AJ34"/>
    <mergeCell ref="AK33:AK34"/>
    <mergeCell ref="T33:T34"/>
    <mergeCell ref="U33:U34"/>
    <mergeCell ref="X33:X34"/>
    <mergeCell ref="Y33:Y34"/>
    <mergeCell ref="Z33:Z34"/>
    <mergeCell ref="AA33:AA34"/>
    <mergeCell ref="L33:L34"/>
    <mergeCell ref="M33:M34"/>
    <mergeCell ref="N33:N34"/>
    <mergeCell ref="O33:O34"/>
    <mergeCell ref="R33:R34"/>
    <mergeCell ref="S33:S34"/>
    <mergeCell ref="AJ31:AJ32"/>
    <mergeCell ref="Z31:Z32"/>
    <mergeCell ref="AA31:AA32"/>
    <mergeCell ref="AD31:AD32"/>
    <mergeCell ref="AE31:AE32"/>
    <mergeCell ref="AF31:AF32"/>
    <mergeCell ref="AG31:AG32"/>
    <mergeCell ref="R31:R32"/>
    <mergeCell ref="S31:S32"/>
    <mergeCell ref="T31:T32"/>
    <mergeCell ref="U31:U32"/>
    <mergeCell ref="X31:X32"/>
    <mergeCell ref="Y31:Y32"/>
    <mergeCell ref="M31:M32"/>
    <mergeCell ref="N31:N32"/>
    <mergeCell ref="O31:O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AF29:AF30"/>
    <mergeCell ref="AG29:AG30"/>
    <mergeCell ref="AJ29:AJ30"/>
    <mergeCell ref="Z29:Z30"/>
    <mergeCell ref="AA29:AA30"/>
    <mergeCell ref="AD29:AD30"/>
    <mergeCell ref="AE29:AE30"/>
    <mergeCell ref="A31:A32"/>
    <mergeCell ref="B31:B32"/>
    <mergeCell ref="C31:C32"/>
    <mergeCell ref="D31:D32"/>
    <mergeCell ref="E31:E32"/>
    <mergeCell ref="F31:F32"/>
    <mergeCell ref="G31:G32"/>
    <mergeCell ref="X29:X30"/>
    <mergeCell ref="Y29:Y30"/>
    <mergeCell ref="N29:N30"/>
    <mergeCell ref="O29:O30"/>
    <mergeCell ref="R29:R30"/>
    <mergeCell ref="S29:S30"/>
    <mergeCell ref="T29:T30"/>
    <mergeCell ref="U29:U30"/>
    <mergeCell ref="F29:F30"/>
    <mergeCell ref="G29:G30"/>
    <mergeCell ref="H29:H30"/>
    <mergeCell ref="I29:I30"/>
    <mergeCell ref="L29:L30"/>
    <mergeCell ref="M29:M30"/>
    <mergeCell ref="H31:H32"/>
    <mergeCell ref="I31:I32"/>
    <mergeCell ref="L31:L32"/>
    <mergeCell ref="N25:N26"/>
    <mergeCell ref="O25:O26"/>
    <mergeCell ref="X27:X28"/>
    <mergeCell ref="AK27:AK28"/>
    <mergeCell ref="AL27:AL28"/>
    <mergeCell ref="AM27:AM28"/>
    <mergeCell ref="AP27:AP28"/>
    <mergeCell ref="A29:A30"/>
    <mergeCell ref="B29:B30"/>
    <mergeCell ref="C29:C30"/>
    <mergeCell ref="D29:D30"/>
    <mergeCell ref="E29:E30"/>
    <mergeCell ref="N27:N28"/>
    <mergeCell ref="O27:O28"/>
    <mergeCell ref="R27:R28"/>
    <mergeCell ref="S27:S28"/>
    <mergeCell ref="T27:T28"/>
    <mergeCell ref="U27:U28"/>
    <mergeCell ref="F27:F28"/>
    <mergeCell ref="G27:G28"/>
    <mergeCell ref="H27:H28"/>
    <mergeCell ref="I27:I28"/>
    <mergeCell ref="L27:L28"/>
    <mergeCell ref="M27:M28"/>
    <mergeCell ref="A27:A28"/>
    <mergeCell ref="B27:B28"/>
    <mergeCell ref="C27:C28"/>
    <mergeCell ref="D27:D28"/>
    <mergeCell ref="E27:E28"/>
    <mergeCell ref="H25:H26"/>
    <mergeCell ref="I25:I26"/>
    <mergeCell ref="L25:L26"/>
    <mergeCell ref="M25:M26"/>
    <mergeCell ref="O21:O22"/>
    <mergeCell ref="R21:R22"/>
    <mergeCell ref="C21:C22"/>
    <mergeCell ref="D21:D22"/>
    <mergeCell ref="E21:E22"/>
    <mergeCell ref="F21:F22"/>
    <mergeCell ref="G21:G22"/>
    <mergeCell ref="H21:H22"/>
    <mergeCell ref="I21:I22"/>
    <mergeCell ref="S21:S22"/>
    <mergeCell ref="T23:T24"/>
    <mergeCell ref="U23:U24"/>
    <mergeCell ref="X23:X24"/>
    <mergeCell ref="A25:A26"/>
    <mergeCell ref="B25:B26"/>
    <mergeCell ref="C25:C26"/>
    <mergeCell ref="D25:D26"/>
    <mergeCell ref="E25:E26"/>
    <mergeCell ref="F25:F26"/>
    <mergeCell ref="G25:G26"/>
    <mergeCell ref="L23:L24"/>
    <mergeCell ref="M23:M24"/>
    <mergeCell ref="N23:N24"/>
    <mergeCell ref="O23:O24"/>
    <mergeCell ref="R23:R24"/>
    <mergeCell ref="S23:S24"/>
    <mergeCell ref="R25:R26"/>
    <mergeCell ref="S25:S26"/>
    <mergeCell ref="T25:T26"/>
    <mergeCell ref="U25:U26"/>
    <mergeCell ref="X25:X26"/>
    <mergeCell ref="A21:A22"/>
    <mergeCell ref="B21:B22"/>
    <mergeCell ref="G19:G20"/>
    <mergeCell ref="H19:H20"/>
    <mergeCell ref="I19:I20"/>
    <mergeCell ref="L19:L20"/>
    <mergeCell ref="M19:M20"/>
    <mergeCell ref="AD21:AD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T21:T22"/>
    <mergeCell ref="U21:U22"/>
    <mergeCell ref="X21:X22"/>
    <mergeCell ref="Y21:Y22"/>
    <mergeCell ref="Z21:Z22"/>
    <mergeCell ref="AA21:AA22"/>
    <mergeCell ref="L21:L22"/>
    <mergeCell ref="M21:M22"/>
    <mergeCell ref="N21:N22"/>
    <mergeCell ref="R17:R18"/>
    <mergeCell ref="S17:S18"/>
    <mergeCell ref="T17:T18"/>
    <mergeCell ref="U17:U18"/>
    <mergeCell ref="X17:X18"/>
    <mergeCell ref="A19:A20"/>
    <mergeCell ref="B19:B20"/>
    <mergeCell ref="C19:C20"/>
    <mergeCell ref="D19:D20"/>
    <mergeCell ref="E19:E20"/>
    <mergeCell ref="H17:H18"/>
    <mergeCell ref="I17:I18"/>
    <mergeCell ref="L17:L18"/>
    <mergeCell ref="M17:M18"/>
    <mergeCell ref="N17:N18"/>
    <mergeCell ref="O17:O18"/>
    <mergeCell ref="X19:X20"/>
    <mergeCell ref="N19:N20"/>
    <mergeCell ref="O19:O20"/>
    <mergeCell ref="R19:R20"/>
    <mergeCell ref="S19:S20"/>
    <mergeCell ref="T19:T20"/>
    <mergeCell ref="U19:U20"/>
    <mergeCell ref="F19:F20"/>
    <mergeCell ref="A17:A18"/>
    <mergeCell ref="B17:B18"/>
    <mergeCell ref="C17:C18"/>
    <mergeCell ref="D17:D18"/>
    <mergeCell ref="E17:E18"/>
    <mergeCell ref="F17:F18"/>
    <mergeCell ref="G17:G18"/>
    <mergeCell ref="F15:F16"/>
    <mergeCell ref="G15:G16"/>
    <mergeCell ref="T13:T14"/>
    <mergeCell ref="U13:U14"/>
    <mergeCell ref="X13:X14"/>
    <mergeCell ref="A15:A16"/>
    <mergeCell ref="B15:B16"/>
    <mergeCell ref="C15:C16"/>
    <mergeCell ref="D15:D16"/>
    <mergeCell ref="E15:E16"/>
    <mergeCell ref="H13:H14"/>
    <mergeCell ref="I13:I14"/>
    <mergeCell ref="L13:L14"/>
    <mergeCell ref="M13:M14"/>
    <mergeCell ref="N13:N14"/>
    <mergeCell ref="O13:O14"/>
    <mergeCell ref="N15:N16"/>
    <mergeCell ref="O15:O16"/>
    <mergeCell ref="R15:R16"/>
    <mergeCell ref="H15:H16"/>
    <mergeCell ref="I15:I16"/>
    <mergeCell ref="L15:L16"/>
    <mergeCell ref="M15:M16"/>
    <mergeCell ref="A13:A14"/>
    <mergeCell ref="B13:B14"/>
    <mergeCell ref="C13:C14"/>
    <mergeCell ref="D13:D14"/>
    <mergeCell ref="E13:E14"/>
    <mergeCell ref="F13:F14"/>
    <mergeCell ref="G13:G14"/>
    <mergeCell ref="R13:R14"/>
    <mergeCell ref="S13:S14"/>
    <mergeCell ref="H9:H10"/>
    <mergeCell ref="I9:I10"/>
    <mergeCell ref="L9:L10"/>
    <mergeCell ref="L11:L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T7:T8"/>
    <mergeCell ref="U7:U8"/>
    <mergeCell ref="X7:X8"/>
    <mergeCell ref="H7:H8"/>
    <mergeCell ref="I7:I8"/>
    <mergeCell ref="L7:L8"/>
    <mergeCell ref="S7:S8"/>
    <mergeCell ref="A9:A10"/>
    <mergeCell ref="B9:B10"/>
    <mergeCell ref="C9:C10"/>
    <mergeCell ref="D9:D10"/>
    <mergeCell ref="E9:E10"/>
    <mergeCell ref="F9:F10"/>
    <mergeCell ref="G9:G10"/>
    <mergeCell ref="F7:F8"/>
    <mergeCell ref="G7:G8"/>
    <mergeCell ref="A7:A8"/>
    <mergeCell ref="B7:B8"/>
    <mergeCell ref="C7:C8"/>
    <mergeCell ref="D7:D8"/>
    <mergeCell ref="E7:E8"/>
    <mergeCell ref="AQ2:AQ4"/>
    <mergeCell ref="G3:H3"/>
    <mergeCell ref="I3:I4"/>
    <mergeCell ref="J3:K3"/>
    <mergeCell ref="M3:N3"/>
    <mergeCell ref="O3:O4"/>
    <mergeCell ref="P3:Q3"/>
    <mergeCell ref="S3:T3"/>
    <mergeCell ref="AG3:AG4"/>
    <mergeCell ref="AH3:AI3"/>
    <mergeCell ref="AK3:AL3"/>
    <mergeCell ref="AM3:AM4"/>
    <mergeCell ref="AN3:AO3"/>
    <mergeCell ref="AB3:AC3"/>
    <mergeCell ref="AE3:AF3"/>
    <mergeCell ref="U3:U4"/>
    <mergeCell ref="V3:W3"/>
    <mergeCell ref="Y3:Z3"/>
    <mergeCell ref="AA3:AA4"/>
    <mergeCell ref="A1:AP1"/>
    <mergeCell ref="A2:A4"/>
    <mergeCell ref="B2:B4"/>
    <mergeCell ref="C2:C4"/>
    <mergeCell ref="D2:D4"/>
    <mergeCell ref="E2:F3"/>
    <mergeCell ref="G2:L2"/>
    <mergeCell ref="M2:R2"/>
    <mergeCell ref="S2:X2"/>
    <mergeCell ref="Y2:AD2"/>
    <mergeCell ref="AE2:AJ2"/>
    <mergeCell ref="AK2:AP2"/>
    <mergeCell ref="L82:L83"/>
    <mergeCell ref="I82:I83"/>
    <mergeCell ref="H82:H83"/>
    <mergeCell ref="G82:G83"/>
    <mergeCell ref="F82:F83"/>
    <mergeCell ref="D80:D81"/>
    <mergeCell ref="C80:C81"/>
    <mergeCell ref="B80:B81"/>
    <mergeCell ref="A80:A81"/>
    <mergeCell ref="L80:L81"/>
    <mergeCell ref="I80:I81"/>
    <mergeCell ref="H80:H81"/>
    <mergeCell ref="E82:E83"/>
    <mergeCell ref="C82:C83"/>
    <mergeCell ref="B82:B83"/>
    <mergeCell ref="A82:A83"/>
    <mergeCell ref="G80:G81"/>
    <mergeCell ref="F80:F81"/>
    <mergeCell ref="L78:L79"/>
    <mergeCell ref="I78:I79"/>
    <mergeCell ref="H78:H79"/>
    <mergeCell ref="G78:G79"/>
    <mergeCell ref="F78:F79"/>
    <mergeCell ref="D78:D79"/>
    <mergeCell ref="C78:C79"/>
    <mergeCell ref="B78:B79"/>
    <mergeCell ref="A78:A79"/>
  </mergeCells>
  <printOptions horizontalCentered="1" verticalCentered="1"/>
  <pageMargins left="0.23622047244094491" right="0.23622047244094491" top="0.23622047244094491" bottom="0.23622047244094491" header="3.937007874015748E-2" footer="3.937007874015748E-2"/>
  <pageSetup paperSize="8" scale="1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BM285"/>
  <sheetViews>
    <sheetView view="pageBreakPreview" zoomScale="85" zoomScaleNormal="80" zoomScaleSheetLayoutView="85" zoomScalePageLayoutView="80" workbookViewId="0">
      <pane xSplit="6" ySplit="9" topLeftCell="G256" activePane="bottomRight" state="frozen"/>
      <selection pane="topRight" activeCell="G1" sqref="G1"/>
      <selection pane="bottomLeft" activeCell="A10" sqref="A10"/>
      <selection pane="bottomRight" activeCell="AO176" sqref="AO176"/>
    </sheetView>
  </sheetViews>
  <sheetFormatPr defaultColWidth="11.42578125" defaultRowHeight="15" x14ac:dyDescent="0.25"/>
  <cols>
    <col min="1" max="1" width="4.28515625" style="1" customWidth="1"/>
    <col min="2" max="2" width="11.7109375" style="1" customWidth="1"/>
    <col min="3" max="3" width="43.42578125" style="54" customWidth="1"/>
    <col min="4" max="7" width="12" style="54" customWidth="1"/>
    <col min="8" max="9" width="11.42578125" style="54" customWidth="1"/>
    <col min="10" max="10" width="22.85546875" style="54" customWidth="1"/>
    <col min="11" max="11" width="11.42578125" style="54" customWidth="1"/>
    <col min="12" max="12" width="11.42578125" style="296" customWidth="1"/>
    <col min="13" max="13" width="19.42578125" style="54" customWidth="1"/>
    <col min="14" max="15" width="10.7109375" style="54" customWidth="1"/>
    <col min="16" max="16" width="22.85546875" style="54" customWidth="1"/>
    <col min="17" max="17" width="10.7109375" style="54" customWidth="1"/>
    <col min="18" max="18" width="10.7109375" style="296" customWidth="1"/>
    <col min="19" max="19" width="23.140625" style="54" customWidth="1"/>
    <col min="20" max="20" width="12.42578125" style="54" customWidth="1"/>
    <col min="21" max="21" width="13.85546875" style="54" customWidth="1"/>
    <col min="22" max="22" width="22.85546875" style="54" customWidth="1"/>
    <col min="23" max="23" width="11.7109375" style="54" customWidth="1"/>
    <col min="24" max="24" width="11.7109375" style="296" customWidth="1"/>
    <col min="25" max="25" width="15" style="54" customWidth="1"/>
    <col min="26" max="26" width="14.85546875" style="54" customWidth="1"/>
    <col min="27" max="27" width="11.28515625" style="54" customWidth="1"/>
    <col min="28" max="28" width="22.85546875" style="54" customWidth="1"/>
    <col min="29" max="29" width="11.7109375" style="54" customWidth="1"/>
    <col min="30" max="30" width="11.7109375" style="296" customWidth="1"/>
    <col min="31" max="31" width="15" style="54" customWidth="1"/>
    <col min="32" max="32" width="12.28515625" style="54" customWidth="1"/>
    <col min="33" max="33" width="10" style="1" customWidth="1"/>
    <col min="34" max="34" width="22.85546875" style="1" customWidth="1"/>
    <col min="35" max="35" width="11.42578125" style="1" customWidth="1"/>
    <col min="36" max="36" width="11.42578125" style="297" customWidth="1"/>
    <col min="37" max="37" width="13.7109375" style="1" customWidth="1"/>
    <col min="38" max="38" width="11.42578125" style="1" customWidth="1"/>
    <col min="39" max="39" width="11.85546875" style="1" customWidth="1"/>
    <col min="40" max="40" width="21.85546875" style="1" customWidth="1"/>
    <col min="41" max="41" width="11.42578125" style="1" customWidth="1"/>
    <col min="42" max="42" width="11.42578125" style="297" customWidth="1"/>
    <col min="43" max="43" width="13.7109375" style="1" bestFit="1" customWidth="1"/>
    <col min="44" max="44" width="18.28515625" style="3" customWidth="1"/>
    <col min="45" max="45" width="11.42578125" style="3"/>
    <col min="46" max="46" width="0" style="3" hidden="1" customWidth="1"/>
    <col min="47" max="47" width="13.140625" style="3" hidden="1" customWidth="1"/>
    <col min="48" max="65" width="11.42578125" style="3"/>
    <col min="66" max="16384" width="11.42578125" style="1"/>
  </cols>
  <sheetData>
    <row r="2" spans="1:65" ht="36" customHeight="1" x14ac:dyDescent="0.25">
      <c r="A2" s="504" t="s">
        <v>101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6"/>
    </row>
    <row r="3" spans="1:65" s="62" customFormat="1" ht="21" customHeight="1" x14ac:dyDescent="0.2">
      <c r="A3" s="403" t="s">
        <v>0</v>
      </c>
      <c r="B3" s="507" t="s">
        <v>25</v>
      </c>
      <c r="C3" s="508" t="s">
        <v>74</v>
      </c>
      <c r="D3" s="509" t="s">
        <v>68</v>
      </c>
      <c r="E3" s="510"/>
      <c r="F3" s="510"/>
      <c r="G3" s="511"/>
      <c r="H3" s="515" t="s">
        <v>27</v>
      </c>
      <c r="I3" s="515"/>
      <c r="J3" s="515"/>
      <c r="K3" s="515"/>
      <c r="L3" s="515"/>
      <c r="M3" s="515"/>
      <c r="N3" s="502" t="s">
        <v>36</v>
      </c>
      <c r="O3" s="502"/>
      <c r="P3" s="502"/>
      <c r="Q3" s="502"/>
      <c r="R3" s="502"/>
      <c r="S3" s="502"/>
      <c r="T3" s="515" t="s">
        <v>37</v>
      </c>
      <c r="U3" s="515"/>
      <c r="V3" s="515"/>
      <c r="W3" s="515"/>
      <c r="X3" s="515"/>
      <c r="Y3" s="515"/>
      <c r="Z3" s="502" t="s">
        <v>38</v>
      </c>
      <c r="AA3" s="502"/>
      <c r="AB3" s="502"/>
      <c r="AC3" s="502"/>
      <c r="AD3" s="502"/>
      <c r="AE3" s="502"/>
      <c r="AF3" s="515" t="s">
        <v>39</v>
      </c>
      <c r="AG3" s="515"/>
      <c r="AH3" s="515"/>
      <c r="AI3" s="515"/>
      <c r="AJ3" s="515"/>
      <c r="AK3" s="515"/>
      <c r="AL3" s="502" t="s">
        <v>40</v>
      </c>
      <c r="AM3" s="502"/>
      <c r="AN3" s="502"/>
      <c r="AO3" s="502"/>
      <c r="AP3" s="502"/>
      <c r="AQ3" s="502"/>
      <c r="AR3" s="413" t="s">
        <v>50</v>
      </c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</row>
    <row r="4" spans="1:65" s="62" customFormat="1" ht="21" customHeight="1" x14ac:dyDescent="0.2">
      <c r="A4" s="403"/>
      <c r="B4" s="507"/>
      <c r="C4" s="508"/>
      <c r="D4" s="512"/>
      <c r="E4" s="513"/>
      <c r="F4" s="513"/>
      <c r="G4" s="514"/>
      <c r="H4" s="503" t="s">
        <v>28</v>
      </c>
      <c r="I4" s="503"/>
      <c r="J4" s="503" t="s">
        <v>29</v>
      </c>
      <c r="K4" s="503" t="s">
        <v>30</v>
      </c>
      <c r="L4" s="503"/>
      <c r="M4" s="503" t="s">
        <v>4</v>
      </c>
      <c r="N4" s="503" t="s">
        <v>28</v>
      </c>
      <c r="O4" s="503"/>
      <c r="P4" s="503" t="s">
        <v>29</v>
      </c>
      <c r="Q4" s="503" t="s">
        <v>30</v>
      </c>
      <c r="R4" s="503"/>
      <c r="S4" s="503" t="s">
        <v>4</v>
      </c>
      <c r="T4" s="503" t="s">
        <v>28</v>
      </c>
      <c r="U4" s="503"/>
      <c r="V4" s="503" t="s">
        <v>29</v>
      </c>
      <c r="W4" s="503" t="s">
        <v>30</v>
      </c>
      <c r="X4" s="503"/>
      <c r="Y4" s="503" t="s">
        <v>4</v>
      </c>
      <c r="Z4" s="503" t="s">
        <v>28</v>
      </c>
      <c r="AA4" s="503"/>
      <c r="AB4" s="503" t="s">
        <v>29</v>
      </c>
      <c r="AC4" s="503" t="s">
        <v>30</v>
      </c>
      <c r="AD4" s="503"/>
      <c r="AE4" s="503" t="s">
        <v>4</v>
      </c>
      <c r="AF4" s="503" t="s">
        <v>28</v>
      </c>
      <c r="AG4" s="503"/>
      <c r="AH4" s="503" t="s">
        <v>29</v>
      </c>
      <c r="AI4" s="503" t="s">
        <v>30</v>
      </c>
      <c r="AJ4" s="503"/>
      <c r="AK4" s="503" t="s">
        <v>4</v>
      </c>
      <c r="AL4" s="503" t="s">
        <v>28</v>
      </c>
      <c r="AM4" s="503"/>
      <c r="AN4" s="503" t="s">
        <v>29</v>
      </c>
      <c r="AO4" s="503" t="s">
        <v>30</v>
      </c>
      <c r="AP4" s="503"/>
      <c r="AQ4" s="503" t="s">
        <v>4</v>
      </c>
      <c r="AR4" s="413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</row>
    <row r="5" spans="1:65" s="62" customFormat="1" ht="27" customHeight="1" x14ac:dyDescent="0.2">
      <c r="A5" s="403"/>
      <c r="B5" s="507"/>
      <c r="C5" s="508"/>
      <c r="D5" s="531" t="s">
        <v>71</v>
      </c>
      <c r="E5" s="532"/>
      <c r="F5" s="531" t="s">
        <v>47</v>
      </c>
      <c r="G5" s="532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503"/>
      <c r="AI5" s="503"/>
      <c r="AJ5" s="503"/>
      <c r="AK5" s="503"/>
      <c r="AL5" s="503"/>
      <c r="AM5" s="503"/>
      <c r="AN5" s="503"/>
      <c r="AO5" s="503"/>
      <c r="AP5" s="503"/>
      <c r="AQ5" s="503"/>
      <c r="AR5" s="413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</row>
    <row r="6" spans="1:65" s="62" customFormat="1" ht="30" x14ac:dyDescent="0.2">
      <c r="A6" s="403"/>
      <c r="B6" s="507"/>
      <c r="C6" s="508"/>
      <c r="D6" s="320" t="s">
        <v>5</v>
      </c>
      <c r="E6" s="320" t="s">
        <v>6</v>
      </c>
      <c r="F6" s="320" t="s">
        <v>5</v>
      </c>
      <c r="G6" s="320" t="s">
        <v>6</v>
      </c>
      <c r="H6" s="320" t="s">
        <v>33</v>
      </c>
      <c r="I6" s="320" t="s">
        <v>34</v>
      </c>
      <c r="J6" s="503"/>
      <c r="K6" s="320" t="s">
        <v>31</v>
      </c>
      <c r="L6" s="320" t="s">
        <v>32</v>
      </c>
      <c r="M6" s="320" t="s">
        <v>35</v>
      </c>
      <c r="N6" s="320" t="s">
        <v>33</v>
      </c>
      <c r="O6" s="320" t="s">
        <v>34</v>
      </c>
      <c r="P6" s="503"/>
      <c r="Q6" s="320" t="s">
        <v>31</v>
      </c>
      <c r="R6" s="320" t="s">
        <v>32</v>
      </c>
      <c r="S6" s="320" t="s">
        <v>35</v>
      </c>
      <c r="T6" s="320" t="s">
        <v>33</v>
      </c>
      <c r="U6" s="320" t="s">
        <v>34</v>
      </c>
      <c r="V6" s="503"/>
      <c r="W6" s="320" t="s">
        <v>31</v>
      </c>
      <c r="X6" s="320" t="s">
        <v>32</v>
      </c>
      <c r="Y6" s="320" t="s">
        <v>35</v>
      </c>
      <c r="Z6" s="320" t="s">
        <v>33</v>
      </c>
      <c r="AA6" s="320" t="s">
        <v>34</v>
      </c>
      <c r="AB6" s="503"/>
      <c r="AC6" s="320" t="s">
        <v>31</v>
      </c>
      <c r="AD6" s="320" t="s">
        <v>32</v>
      </c>
      <c r="AE6" s="320" t="s">
        <v>35</v>
      </c>
      <c r="AF6" s="320" t="s">
        <v>33</v>
      </c>
      <c r="AG6" s="320" t="s">
        <v>34</v>
      </c>
      <c r="AH6" s="503"/>
      <c r="AI6" s="320" t="s">
        <v>31</v>
      </c>
      <c r="AJ6" s="320" t="s">
        <v>32</v>
      </c>
      <c r="AK6" s="320" t="s">
        <v>35</v>
      </c>
      <c r="AL6" s="320" t="s">
        <v>33</v>
      </c>
      <c r="AM6" s="320" t="s">
        <v>34</v>
      </c>
      <c r="AN6" s="503"/>
      <c r="AO6" s="320" t="s">
        <v>31</v>
      </c>
      <c r="AP6" s="320" t="s">
        <v>32</v>
      </c>
      <c r="AQ6" s="320" t="s">
        <v>35</v>
      </c>
      <c r="AR6" s="97">
        <v>43</v>
      </c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</row>
    <row r="7" spans="1:65" s="62" customFormat="1" ht="21" customHeight="1" x14ac:dyDescent="0.2">
      <c r="A7" s="279">
        <v>1</v>
      </c>
      <c r="B7" s="279">
        <v>2</v>
      </c>
      <c r="C7" s="282">
        <v>3</v>
      </c>
      <c r="D7" s="320">
        <v>4</v>
      </c>
      <c r="E7" s="320">
        <v>5</v>
      </c>
      <c r="F7" s="321">
        <v>6</v>
      </c>
      <c r="G7" s="321">
        <v>7</v>
      </c>
      <c r="H7" s="322">
        <v>8</v>
      </c>
      <c r="I7" s="320">
        <v>9</v>
      </c>
      <c r="J7" s="321">
        <v>10</v>
      </c>
      <c r="K7" s="322">
        <v>11</v>
      </c>
      <c r="L7" s="322">
        <v>12</v>
      </c>
      <c r="M7" s="320">
        <v>13</v>
      </c>
      <c r="N7" s="321">
        <v>14</v>
      </c>
      <c r="O7" s="322">
        <v>15</v>
      </c>
      <c r="P7" s="321">
        <v>16</v>
      </c>
      <c r="Q7" s="320">
        <v>17</v>
      </c>
      <c r="R7" s="321">
        <v>18</v>
      </c>
      <c r="S7" s="322">
        <v>19</v>
      </c>
      <c r="T7" s="321">
        <v>20</v>
      </c>
      <c r="U7" s="322">
        <v>21</v>
      </c>
      <c r="V7" s="320">
        <v>22</v>
      </c>
      <c r="W7" s="321">
        <v>23</v>
      </c>
      <c r="X7" s="321">
        <v>24</v>
      </c>
      <c r="Y7" s="322">
        <v>25</v>
      </c>
      <c r="Z7" s="320">
        <v>26</v>
      </c>
      <c r="AA7" s="321">
        <v>27</v>
      </c>
      <c r="AB7" s="322">
        <v>28</v>
      </c>
      <c r="AC7" s="321">
        <v>29</v>
      </c>
      <c r="AD7" s="320">
        <v>30</v>
      </c>
      <c r="AE7" s="321">
        <v>31</v>
      </c>
      <c r="AF7" s="322">
        <v>32</v>
      </c>
      <c r="AG7" s="321">
        <v>33</v>
      </c>
      <c r="AH7" s="322">
        <v>34</v>
      </c>
      <c r="AI7" s="320">
        <v>35</v>
      </c>
      <c r="AJ7" s="322">
        <v>36</v>
      </c>
      <c r="AK7" s="321">
        <v>37</v>
      </c>
      <c r="AL7" s="322">
        <v>38</v>
      </c>
      <c r="AM7" s="320">
        <v>39</v>
      </c>
      <c r="AN7" s="321">
        <v>40</v>
      </c>
      <c r="AO7" s="322">
        <v>41</v>
      </c>
      <c r="AP7" s="322">
        <v>42</v>
      </c>
      <c r="AQ7" s="322">
        <v>43</v>
      </c>
      <c r="AR7" s="11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</row>
    <row r="8" spans="1:65" ht="21.75" customHeight="1" x14ac:dyDescent="0.25">
      <c r="A8" s="67" t="s">
        <v>23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288"/>
      <c r="M8" s="67"/>
      <c r="N8" s="67"/>
      <c r="O8" s="67"/>
      <c r="P8" s="67"/>
      <c r="Q8" s="67"/>
      <c r="R8" s="288"/>
      <c r="S8" s="67"/>
      <c r="T8" s="67"/>
      <c r="U8" s="67"/>
      <c r="V8" s="67"/>
      <c r="W8" s="67"/>
      <c r="X8" s="288"/>
      <c r="Y8" s="67"/>
      <c r="Z8" s="67"/>
      <c r="AA8" s="67"/>
      <c r="AB8" s="67"/>
      <c r="AC8" s="67"/>
      <c r="AD8" s="288"/>
      <c r="AE8" s="67"/>
      <c r="AF8" s="67"/>
      <c r="AG8" s="67"/>
      <c r="AH8" s="67"/>
      <c r="AI8" s="67"/>
      <c r="AJ8" s="288"/>
      <c r="AK8" s="67"/>
      <c r="AL8" s="67"/>
      <c r="AM8" s="67"/>
      <c r="AN8" s="67"/>
      <c r="AO8" s="67"/>
      <c r="AP8" s="288"/>
      <c r="AQ8" s="67"/>
      <c r="AR8" s="67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21.75" customHeight="1" x14ac:dyDescent="0.25">
      <c r="A9" s="526" t="s">
        <v>152</v>
      </c>
      <c r="B9" s="527"/>
      <c r="C9" s="528"/>
      <c r="D9" s="142"/>
      <c r="E9" s="142"/>
      <c r="F9" s="142"/>
      <c r="G9" s="142"/>
      <c r="H9" s="142"/>
      <c r="I9" s="142"/>
      <c r="J9" s="142"/>
      <c r="K9" s="289">
        <f>K10+K12+K14+K16+K18+K20+K22+K24+K26+K28+K30+K32</f>
        <v>11.540000000000001</v>
      </c>
      <c r="L9" s="288"/>
      <c r="M9" s="289">
        <f>M10+M12+M14+M16+M18+M20+M22+M24+M26+M28+M30+M32</f>
        <v>209999.99559999999</v>
      </c>
      <c r="N9" s="67"/>
      <c r="O9" s="180"/>
      <c r="P9" s="67"/>
      <c r="Q9" s="168">
        <f>Q28+Q30+Q32+Q36+Q34+Q38+Q40+Q42</f>
        <v>12.103999999999999</v>
      </c>
      <c r="R9" s="9"/>
      <c r="S9" s="168">
        <f>S28+S30+S32+S36+S34+S38+S40+S42</f>
        <v>210000.00177999999</v>
      </c>
      <c r="T9" s="67"/>
      <c r="U9" s="67"/>
      <c r="V9" s="67"/>
      <c r="W9" s="180">
        <f>W44+W46+W48+W50+W52+W54+W56+W58+W60+W62</f>
        <v>12.395</v>
      </c>
      <c r="X9" s="288"/>
      <c r="Y9" s="221">
        <f>Y44+Y46+Y48+Y50+Y52+Y54+Y56+Y58+Y60+Y62</f>
        <v>210000.00040000002</v>
      </c>
      <c r="Z9" s="67"/>
      <c r="AA9" s="67"/>
      <c r="AB9" s="67"/>
      <c r="AC9" s="180">
        <f>AC64+AC66+AC68+AC70+AC72+AC74+AC76+AC78+AC80</f>
        <v>11.89</v>
      </c>
      <c r="AD9" s="288"/>
      <c r="AE9" s="221">
        <f>AE64+AE66+AE68+AE70+AE72+AE74+AE76+AE78+AE80</f>
        <v>210000.00200000001</v>
      </c>
      <c r="AF9" s="67"/>
      <c r="AG9" s="67"/>
      <c r="AH9" s="67"/>
      <c r="AI9" s="180">
        <f>AI82+AI84+AI86+AI88+AI90+AI92+AI94</f>
        <v>13.024999999999999</v>
      </c>
      <c r="AJ9" s="288"/>
      <c r="AK9" s="180">
        <f>AK82+AK84+AK86+AK88+AK90+AK92+AK94</f>
        <v>209999.99900000001</v>
      </c>
      <c r="AL9" s="67"/>
      <c r="AM9" s="67"/>
      <c r="AN9" s="67"/>
      <c r="AO9" s="180">
        <f>AO96+AO98+AO100+AO102+AO104+AO106+AO108+AO110</f>
        <v>12.040000000000001</v>
      </c>
      <c r="AP9" s="288"/>
      <c r="AQ9" s="180">
        <f>AQ96+AQ98+AQ100+AQ102+AQ104+AQ106+AQ108+AQ110</f>
        <v>209999.9988</v>
      </c>
      <c r="AR9" s="67"/>
      <c r="AS9" s="180">
        <f>K9+Q9+W9+AC9+AI9+AO9</f>
        <v>72.994</v>
      </c>
      <c r="AT9" s="180">
        <f>L9+R9+X9+AD9+AJ9+AP9</f>
        <v>0</v>
      </c>
      <c r="AU9" s="290">
        <f>M9+S9+Y9+AE9+AK9+AQ9</f>
        <v>1259999.99758</v>
      </c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12.75" customHeight="1" x14ac:dyDescent="0.25">
      <c r="A10" s="400">
        <v>1</v>
      </c>
      <c r="B10" s="459">
        <v>2447121</v>
      </c>
      <c r="C10" s="529" t="s">
        <v>147</v>
      </c>
      <c r="D10" s="516">
        <v>1.19</v>
      </c>
      <c r="E10" s="518">
        <f t="shared" ref="E10:G10" si="0">D10*7000</f>
        <v>8330</v>
      </c>
      <c r="F10" s="516">
        <v>1.19</v>
      </c>
      <c r="G10" s="518">
        <f t="shared" si="0"/>
        <v>8330</v>
      </c>
      <c r="H10" s="520" t="s">
        <v>145</v>
      </c>
      <c r="I10" s="520" t="s">
        <v>655</v>
      </c>
      <c r="J10" s="522" t="s">
        <v>532</v>
      </c>
      <c r="K10" s="222">
        <v>0.82</v>
      </c>
      <c r="L10" s="141" t="s">
        <v>5</v>
      </c>
      <c r="M10" s="524">
        <f>K10*13550.14+0.05</f>
        <v>11111.164799999999</v>
      </c>
      <c r="N10" s="223"/>
      <c r="O10" s="9"/>
      <c r="P10" s="9"/>
      <c r="Q10" s="284"/>
      <c r="R10" s="285"/>
      <c r="S10" s="37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15" customHeight="1" x14ac:dyDescent="0.25">
      <c r="A11" s="401"/>
      <c r="B11" s="460"/>
      <c r="C11" s="530"/>
      <c r="D11" s="517"/>
      <c r="E11" s="519"/>
      <c r="F11" s="517"/>
      <c r="G11" s="519"/>
      <c r="H11" s="521"/>
      <c r="I11" s="521"/>
      <c r="J11" s="523"/>
      <c r="K11" s="222">
        <f>K10*7000</f>
        <v>5740</v>
      </c>
      <c r="L11" s="141" t="s">
        <v>8</v>
      </c>
      <c r="M11" s="525"/>
      <c r="N11" s="9"/>
      <c r="O11" s="9"/>
      <c r="P11" s="9"/>
      <c r="Q11" s="9"/>
      <c r="R11" s="9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ht="15" customHeight="1" x14ac:dyDescent="0.25">
      <c r="A12" s="400">
        <v>2</v>
      </c>
      <c r="B12" s="543" t="s">
        <v>376</v>
      </c>
      <c r="C12" s="545" t="s">
        <v>377</v>
      </c>
      <c r="D12" s="516">
        <v>1.76</v>
      </c>
      <c r="E12" s="518">
        <f t="shared" ref="E12" si="1">D12*7000</f>
        <v>12320</v>
      </c>
      <c r="F12" s="516">
        <v>1.76</v>
      </c>
      <c r="G12" s="518">
        <f t="shared" ref="G12" si="2">F12*7000</f>
        <v>12320</v>
      </c>
      <c r="H12" s="520" t="s">
        <v>145</v>
      </c>
      <c r="I12" s="520" t="s">
        <v>553</v>
      </c>
      <c r="J12" s="522" t="s">
        <v>532</v>
      </c>
      <c r="K12" s="222">
        <v>1</v>
      </c>
      <c r="L12" s="141" t="s">
        <v>5</v>
      </c>
      <c r="M12" s="524">
        <f t="shared" ref="M12" si="3">K12*13550.14</f>
        <v>13550.14</v>
      </c>
      <c r="N12" s="9"/>
      <c r="O12" s="9"/>
      <c r="P12" s="9"/>
      <c r="Q12" s="9"/>
      <c r="R12" s="9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15" customHeight="1" x14ac:dyDescent="0.25">
      <c r="A13" s="401"/>
      <c r="B13" s="544"/>
      <c r="C13" s="546"/>
      <c r="D13" s="517"/>
      <c r="E13" s="519"/>
      <c r="F13" s="517"/>
      <c r="G13" s="519"/>
      <c r="H13" s="521"/>
      <c r="I13" s="521"/>
      <c r="J13" s="523"/>
      <c r="K13" s="222">
        <f>K12*7000</f>
        <v>7000</v>
      </c>
      <c r="L13" s="141" t="s">
        <v>8</v>
      </c>
      <c r="M13" s="525"/>
      <c r="N13" s="9"/>
      <c r="O13" s="9"/>
      <c r="P13" s="9"/>
      <c r="Q13" s="9"/>
      <c r="R13" s="9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s="209" customFormat="1" ht="15" customHeight="1" x14ac:dyDescent="0.25">
      <c r="A14" s="400">
        <v>3</v>
      </c>
      <c r="B14" s="541">
        <v>2447108</v>
      </c>
      <c r="C14" s="529" t="s">
        <v>672</v>
      </c>
      <c r="D14" s="533">
        <v>1.34</v>
      </c>
      <c r="E14" s="535">
        <f t="shared" ref="E14" si="4">D14*7000</f>
        <v>9380</v>
      </c>
      <c r="F14" s="533">
        <v>1.34</v>
      </c>
      <c r="G14" s="535">
        <f t="shared" ref="G14" si="5">F14*7000</f>
        <v>9380</v>
      </c>
      <c r="H14" s="537" t="s">
        <v>149</v>
      </c>
      <c r="I14" s="537" t="s">
        <v>150</v>
      </c>
      <c r="J14" s="539" t="s">
        <v>532</v>
      </c>
      <c r="K14" s="202">
        <v>0.5</v>
      </c>
      <c r="L14" s="197" t="s">
        <v>5</v>
      </c>
      <c r="M14" s="524">
        <f t="shared" ref="M14" si="6">K14*13550.14</f>
        <v>6775.07</v>
      </c>
      <c r="N14" s="197"/>
      <c r="O14" s="197"/>
      <c r="P14" s="197"/>
      <c r="Q14" s="197"/>
      <c r="R14" s="197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204"/>
    </row>
    <row r="15" spans="1:65" s="209" customFormat="1" ht="15" customHeight="1" x14ac:dyDescent="0.25">
      <c r="A15" s="401"/>
      <c r="B15" s="542"/>
      <c r="C15" s="530"/>
      <c r="D15" s="534"/>
      <c r="E15" s="536"/>
      <c r="F15" s="534"/>
      <c r="G15" s="536"/>
      <c r="H15" s="538"/>
      <c r="I15" s="538"/>
      <c r="J15" s="540"/>
      <c r="K15" s="202">
        <f>K14*10500</f>
        <v>5250</v>
      </c>
      <c r="L15" s="197" t="s">
        <v>8</v>
      </c>
      <c r="M15" s="525"/>
      <c r="N15" s="197"/>
      <c r="O15" s="197"/>
      <c r="P15" s="197"/>
      <c r="Q15" s="197"/>
      <c r="R15" s="197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204"/>
    </row>
    <row r="16" spans="1:65" s="209" customFormat="1" ht="15" customHeight="1" x14ac:dyDescent="0.25">
      <c r="A16" s="400">
        <v>4</v>
      </c>
      <c r="B16" s="432">
        <v>2447951</v>
      </c>
      <c r="C16" s="545" t="s">
        <v>402</v>
      </c>
      <c r="D16" s="533">
        <v>3.5</v>
      </c>
      <c r="E16" s="535">
        <f t="shared" ref="E16" si="7">D16*7000</f>
        <v>24500</v>
      </c>
      <c r="F16" s="533">
        <v>3.5</v>
      </c>
      <c r="G16" s="535">
        <f t="shared" ref="G16" si="8">F16*7000</f>
        <v>24500</v>
      </c>
      <c r="H16" s="537" t="s">
        <v>657</v>
      </c>
      <c r="I16" s="537" t="s">
        <v>549</v>
      </c>
      <c r="J16" s="539" t="s">
        <v>532</v>
      </c>
      <c r="K16" s="202">
        <v>0.63</v>
      </c>
      <c r="L16" s="197" t="s">
        <v>5</v>
      </c>
      <c r="M16" s="524">
        <f t="shared" ref="M16" si="9">K16*13550.14</f>
        <v>8536.5882000000001</v>
      </c>
      <c r="N16" s="203"/>
      <c r="O16" s="203"/>
      <c r="P16" s="203"/>
      <c r="Q16" s="203"/>
      <c r="R16" s="203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</row>
    <row r="17" spans="1:65" s="209" customFormat="1" ht="15" customHeight="1" x14ac:dyDescent="0.25">
      <c r="A17" s="401"/>
      <c r="B17" s="433"/>
      <c r="C17" s="546"/>
      <c r="D17" s="534"/>
      <c r="E17" s="536"/>
      <c r="F17" s="534"/>
      <c r="G17" s="536"/>
      <c r="H17" s="538"/>
      <c r="I17" s="538"/>
      <c r="J17" s="540"/>
      <c r="K17" s="202">
        <f>K16*7000</f>
        <v>4410</v>
      </c>
      <c r="L17" s="197" t="s">
        <v>8</v>
      </c>
      <c r="M17" s="525"/>
      <c r="N17" s="203"/>
      <c r="O17" s="203"/>
      <c r="P17" s="203"/>
      <c r="Q17" s="203"/>
      <c r="R17" s="203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</row>
    <row r="18" spans="1:65" ht="15" customHeight="1" x14ac:dyDescent="0.25">
      <c r="A18" s="400">
        <v>5</v>
      </c>
      <c r="B18" s="543">
        <v>2448397</v>
      </c>
      <c r="C18" s="545" t="s">
        <v>463</v>
      </c>
      <c r="D18" s="516">
        <v>1.67</v>
      </c>
      <c r="E18" s="518">
        <f t="shared" ref="E18" si="10">D18*7000</f>
        <v>11690</v>
      </c>
      <c r="F18" s="516">
        <v>1.67</v>
      </c>
      <c r="G18" s="518">
        <f t="shared" ref="G18" si="11">F18*7000</f>
        <v>11690</v>
      </c>
      <c r="H18" s="520" t="s">
        <v>619</v>
      </c>
      <c r="I18" s="520" t="s">
        <v>598</v>
      </c>
      <c r="J18" s="522" t="s">
        <v>532</v>
      </c>
      <c r="K18" s="222">
        <v>0.86</v>
      </c>
      <c r="L18" s="141" t="s">
        <v>5</v>
      </c>
      <c r="M18" s="524">
        <f t="shared" ref="M18" si="12">K18*13550.14</f>
        <v>11653.1204</v>
      </c>
      <c r="N18" s="9"/>
      <c r="O18" s="9"/>
      <c r="P18" s="9"/>
      <c r="Q18" s="9"/>
      <c r="R18" s="9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ht="15" customHeight="1" x14ac:dyDescent="0.25">
      <c r="A19" s="401"/>
      <c r="B19" s="544"/>
      <c r="C19" s="546"/>
      <c r="D19" s="517"/>
      <c r="E19" s="519"/>
      <c r="F19" s="517"/>
      <c r="G19" s="519"/>
      <c r="H19" s="521"/>
      <c r="I19" s="521"/>
      <c r="J19" s="523"/>
      <c r="K19" s="222">
        <f>K18*7000</f>
        <v>6020</v>
      </c>
      <c r="L19" s="141" t="s">
        <v>8</v>
      </c>
      <c r="M19" s="525"/>
      <c r="N19" s="9"/>
      <c r="O19" s="9"/>
      <c r="P19" s="9"/>
      <c r="Q19" s="9"/>
      <c r="R19" s="9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ht="15" customHeight="1" x14ac:dyDescent="0.25">
      <c r="A20" s="400">
        <v>6</v>
      </c>
      <c r="B20" s="547" t="s">
        <v>417</v>
      </c>
      <c r="C20" s="545" t="s">
        <v>418</v>
      </c>
      <c r="D20" s="516">
        <v>0.51</v>
      </c>
      <c r="E20" s="518">
        <f t="shared" ref="E20" si="13">D20*7000</f>
        <v>3570</v>
      </c>
      <c r="F20" s="516">
        <v>0.51</v>
      </c>
      <c r="G20" s="518">
        <f t="shared" ref="G20" si="14">F20*7000</f>
        <v>3570</v>
      </c>
      <c r="H20" s="520" t="s">
        <v>145</v>
      </c>
      <c r="I20" s="520" t="s">
        <v>622</v>
      </c>
      <c r="J20" s="522" t="s">
        <v>532</v>
      </c>
      <c r="K20" s="222">
        <v>0.23</v>
      </c>
      <c r="L20" s="141" t="s">
        <v>5</v>
      </c>
      <c r="M20" s="524">
        <f t="shared" ref="M20" si="15">K20*13550.14</f>
        <v>3116.5322000000001</v>
      </c>
      <c r="N20" s="9"/>
      <c r="O20" s="9"/>
      <c r="P20" s="9"/>
      <c r="Q20" s="9"/>
      <c r="R20" s="9"/>
      <c r="S20" s="286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ht="15" customHeight="1" x14ac:dyDescent="0.25">
      <c r="A21" s="401"/>
      <c r="B21" s="548"/>
      <c r="C21" s="546"/>
      <c r="D21" s="517"/>
      <c r="E21" s="519"/>
      <c r="F21" s="517"/>
      <c r="G21" s="519"/>
      <c r="H21" s="521"/>
      <c r="I21" s="521"/>
      <c r="J21" s="523"/>
      <c r="K21" s="222">
        <f>K20*7000</f>
        <v>1610</v>
      </c>
      <c r="L21" s="141" t="s">
        <v>8</v>
      </c>
      <c r="M21" s="525"/>
      <c r="N21" s="9"/>
      <c r="O21" s="9"/>
      <c r="P21" s="9"/>
      <c r="Q21" s="9"/>
      <c r="R21" s="9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ht="15" customHeight="1" x14ac:dyDescent="0.25">
      <c r="A22" s="400">
        <v>7</v>
      </c>
      <c r="B22" s="459">
        <v>2447603</v>
      </c>
      <c r="C22" s="529" t="s">
        <v>409</v>
      </c>
      <c r="D22" s="516">
        <v>1.59</v>
      </c>
      <c r="E22" s="518">
        <v>11130</v>
      </c>
      <c r="F22" s="516">
        <v>1.59</v>
      </c>
      <c r="G22" s="518">
        <v>11130</v>
      </c>
      <c r="H22" s="520" t="s">
        <v>145</v>
      </c>
      <c r="I22" s="520" t="s">
        <v>658</v>
      </c>
      <c r="J22" s="522" t="s">
        <v>532</v>
      </c>
      <c r="K22" s="222">
        <v>0.93</v>
      </c>
      <c r="L22" s="141" t="s">
        <v>5</v>
      </c>
      <c r="M22" s="524">
        <f t="shared" ref="M22" si="16">K22*13550.14</f>
        <v>12601.6302</v>
      </c>
      <c r="N22" s="9"/>
      <c r="O22" s="9"/>
      <c r="P22" s="9"/>
      <c r="Q22" s="9"/>
      <c r="R22" s="9"/>
      <c r="S22" s="286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ht="15" customHeight="1" x14ac:dyDescent="0.25">
      <c r="A23" s="401"/>
      <c r="B23" s="460">
        <v>2447603</v>
      </c>
      <c r="C23" s="530" t="s">
        <v>409</v>
      </c>
      <c r="D23" s="517">
        <v>1.59</v>
      </c>
      <c r="E23" s="519">
        <v>11130</v>
      </c>
      <c r="F23" s="517">
        <v>1.59</v>
      </c>
      <c r="G23" s="519">
        <v>11130</v>
      </c>
      <c r="H23" s="521"/>
      <c r="I23" s="521"/>
      <c r="J23" s="523"/>
      <c r="K23" s="222">
        <v>11130</v>
      </c>
      <c r="L23" s="141" t="s">
        <v>659</v>
      </c>
      <c r="M23" s="525"/>
      <c r="N23" s="9"/>
      <c r="O23" s="9"/>
      <c r="P23" s="9"/>
      <c r="Q23" s="9"/>
      <c r="R23" s="9"/>
      <c r="S23" s="286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s="209" customFormat="1" ht="15" customHeight="1" x14ac:dyDescent="0.25">
      <c r="A24" s="400">
        <v>8</v>
      </c>
      <c r="B24" s="541">
        <v>2448240</v>
      </c>
      <c r="C24" s="529" t="s">
        <v>148</v>
      </c>
      <c r="D24" s="533">
        <v>0.7</v>
      </c>
      <c r="E24" s="535">
        <v>4900</v>
      </c>
      <c r="F24" s="533">
        <v>0.7</v>
      </c>
      <c r="G24" s="535">
        <f t="shared" ref="G24" si="17">F24*7000</f>
        <v>4900</v>
      </c>
      <c r="H24" s="537" t="s">
        <v>145</v>
      </c>
      <c r="I24" s="537" t="s">
        <v>660</v>
      </c>
      <c r="J24" s="539" t="s">
        <v>532</v>
      </c>
      <c r="K24" s="202">
        <v>0.7</v>
      </c>
      <c r="L24" s="197" t="s">
        <v>5</v>
      </c>
      <c r="M24" s="524">
        <f t="shared" ref="M24" si="18">K24*13550.14</f>
        <v>9485.0979999999981</v>
      </c>
      <c r="N24" s="197"/>
      <c r="O24" s="197"/>
      <c r="P24" s="197"/>
      <c r="Q24" s="197"/>
      <c r="R24" s="197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204"/>
    </row>
    <row r="25" spans="1:65" s="209" customFormat="1" ht="15" customHeight="1" x14ac:dyDescent="0.25">
      <c r="A25" s="401"/>
      <c r="B25" s="542"/>
      <c r="C25" s="530"/>
      <c r="D25" s="534"/>
      <c r="E25" s="536"/>
      <c r="F25" s="534"/>
      <c r="G25" s="536"/>
      <c r="H25" s="538"/>
      <c r="I25" s="538"/>
      <c r="J25" s="540"/>
      <c r="K25" s="202">
        <f>K24*7000</f>
        <v>4900</v>
      </c>
      <c r="L25" s="197" t="s">
        <v>8</v>
      </c>
      <c r="M25" s="525"/>
      <c r="N25" s="197"/>
      <c r="O25" s="197"/>
      <c r="P25" s="197"/>
      <c r="Q25" s="197"/>
      <c r="R25" s="197"/>
      <c r="S25" s="287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204"/>
    </row>
    <row r="26" spans="1:65" ht="15" customHeight="1" x14ac:dyDescent="0.25">
      <c r="A26" s="400">
        <v>9</v>
      </c>
      <c r="B26" s="543"/>
      <c r="C26" s="551" t="s">
        <v>673</v>
      </c>
      <c r="D26" s="516">
        <v>6.65</v>
      </c>
      <c r="E26" s="518">
        <f t="shared" ref="E26:E28" si="19">D26*7000</f>
        <v>46550</v>
      </c>
      <c r="F26" s="516">
        <v>6.65</v>
      </c>
      <c r="G26" s="518">
        <f t="shared" ref="G26:G28" si="20">F26*7000</f>
        <v>46550</v>
      </c>
      <c r="H26" s="520" t="s">
        <v>145</v>
      </c>
      <c r="I26" s="520" t="s">
        <v>661</v>
      </c>
      <c r="J26" s="522" t="s">
        <v>532</v>
      </c>
      <c r="K26" s="222">
        <v>4.7</v>
      </c>
      <c r="L26" s="141" t="s">
        <v>5</v>
      </c>
      <c r="M26" s="524">
        <f t="shared" ref="M26" si="21">K26*13550.14</f>
        <v>63685.658000000003</v>
      </c>
      <c r="N26" s="9"/>
      <c r="O26" s="9"/>
      <c r="P26" s="9"/>
      <c r="Q26" s="9"/>
      <c r="R26" s="9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ht="15" customHeight="1" x14ac:dyDescent="0.25">
      <c r="A27" s="401"/>
      <c r="B27" s="544"/>
      <c r="C27" s="552"/>
      <c r="D27" s="517"/>
      <c r="E27" s="519"/>
      <c r="F27" s="517"/>
      <c r="G27" s="519"/>
      <c r="H27" s="521"/>
      <c r="I27" s="521"/>
      <c r="J27" s="523"/>
      <c r="K27" s="222">
        <f>K26*7000</f>
        <v>32900</v>
      </c>
      <c r="L27" s="141" t="s">
        <v>8</v>
      </c>
      <c r="M27" s="525"/>
      <c r="N27" s="224"/>
      <c r="O27" s="224"/>
      <c r="P27" s="9"/>
      <c r="Q27" s="9"/>
      <c r="R27" s="9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ht="15" customHeight="1" x14ac:dyDescent="0.25">
      <c r="A28" s="400">
        <v>10</v>
      </c>
      <c r="B28" s="459">
        <v>2448351</v>
      </c>
      <c r="C28" s="549" t="s">
        <v>401</v>
      </c>
      <c r="D28" s="516">
        <v>2.15</v>
      </c>
      <c r="E28" s="518">
        <f t="shared" si="19"/>
        <v>15050</v>
      </c>
      <c r="F28" s="516">
        <v>2.15</v>
      </c>
      <c r="G28" s="518">
        <f t="shared" si="20"/>
        <v>15050</v>
      </c>
      <c r="H28" s="520" t="s">
        <v>145</v>
      </c>
      <c r="I28" s="520" t="s">
        <v>646</v>
      </c>
      <c r="J28" s="522" t="s">
        <v>532</v>
      </c>
      <c r="K28" s="222">
        <v>0.85</v>
      </c>
      <c r="L28" s="141" t="s">
        <v>5</v>
      </c>
      <c r="M28" s="524">
        <f t="shared" ref="M28" si="22">K28*13550.14</f>
        <v>11517.618999999999</v>
      </c>
      <c r="N28" s="520" t="s">
        <v>646</v>
      </c>
      <c r="O28" s="520" t="s">
        <v>674</v>
      </c>
      <c r="P28" s="522" t="s">
        <v>532</v>
      </c>
      <c r="Q28" s="222">
        <v>1.3</v>
      </c>
      <c r="R28" s="141" t="s">
        <v>5</v>
      </c>
      <c r="S28" s="524">
        <f>Q28*14107.07+0.27</f>
        <v>18339.460999999999</v>
      </c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ht="15" customHeight="1" x14ac:dyDescent="0.25">
      <c r="A29" s="401"/>
      <c r="B29" s="460"/>
      <c r="C29" s="550"/>
      <c r="D29" s="517"/>
      <c r="E29" s="519"/>
      <c r="F29" s="517"/>
      <c r="G29" s="519"/>
      <c r="H29" s="521"/>
      <c r="I29" s="521"/>
      <c r="J29" s="523"/>
      <c r="K29" s="222">
        <v>14630</v>
      </c>
      <c r="L29" s="141" t="s">
        <v>8</v>
      </c>
      <c r="M29" s="525"/>
      <c r="N29" s="521"/>
      <c r="O29" s="521"/>
      <c r="P29" s="523"/>
      <c r="Q29" s="222">
        <v>14630</v>
      </c>
      <c r="R29" s="141" t="s">
        <v>8</v>
      </c>
      <c r="S29" s="525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s="54" customFormat="1" ht="15" customHeight="1" x14ac:dyDescent="0.25">
      <c r="A30" s="400">
        <v>11</v>
      </c>
      <c r="B30" s="559">
        <v>2447956</v>
      </c>
      <c r="C30" s="549" t="s">
        <v>146</v>
      </c>
      <c r="D30" s="516">
        <v>1.56</v>
      </c>
      <c r="E30" s="518">
        <f>D30*14000</f>
        <v>21840</v>
      </c>
      <c r="F30" s="516">
        <v>1.56</v>
      </c>
      <c r="G30" s="518">
        <f t="shared" ref="G30" si="23">F30*7000</f>
        <v>10920</v>
      </c>
      <c r="H30" s="520" t="s">
        <v>145</v>
      </c>
      <c r="I30" s="520" t="s">
        <v>602</v>
      </c>
      <c r="J30" s="522" t="s">
        <v>42</v>
      </c>
      <c r="K30" s="222">
        <v>0</v>
      </c>
      <c r="L30" s="141" t="s">
        <v>5</v>
      </c>
      <c r="M30" s="557">
        <v>53631.33</v>
      </c>
      <c r="N30" s="520" t="s">
        <v>602</v>
      </c>
      <c r="O30" s="520" t="s">
        <v>675</v>
      </c>
      <c r="P30" s="522" t="s">
        <v>42</v>
      </c>
      <c r="Q30" s="267">
        <v>1.05</v>
      </c>
      <c r="R30" s="141" t="s">
        <v>5</v>
      </c>
      <c r="S30" s="553">
        <v>43480.18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</row>
    <row r="31" spans="1:65" s="54" customFormat="1" ht="15" customHeight="1" x14ac:dyDescent="0.25">
      <c r="A31" s="401"/>
      <c r="B31" s="560"/>
      <c r="C31" s="550"/>
      <c r="D31" s="517"/>
      <c r="E31" s="519"/>
      <c r="F31" s="517"/>
      <c r="G31" s="519"/>
      <c r="H31" s="521"/>
      <c r="I31" s="521"/>
      <c r="J31" s="523"/>
      <c r="K31" s="222">
        <f>K30*14000</f>
        <v>0</v>
      </c>
      <c r="L31" s="141" t="s">
        <v>8</v>
      </c>
      <c r="M31" s="558"/>
      <c r="N31" s="521"/>
      <c r="O31" s="521"/>
      <c r="P31" s="523"/>
      <c r="Q31" s="222">
        <f>Q30*14000</f>
        <v>14700</v>
      </c>
      <c r="R31" s="141" t="s">
        <v>8</v>
      </c>
      <c r="S31" s="55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</row>
    <row r="32" spans="1:65" s="209" customFormat="1" ht="15" customHeight="1" x14ac:dyDescent="0.25">
      <c r="A32" s="400">
        <v>12</v>
      </c>
      <c r="B32" s="432">
        <v>2449168</v>
      </c>
      <c r="C32" s="555" t="s">
        <v>479</v>
      </c>
      <c r="D32" s="533">
        <v>0.67</v>
      </c>
      <c r="E32" s="535">
        <v>4690</v>
      </c>
      <c r="F32" s="533">
        <v>0.67</v>
      </c>
      <c r="G32" s="535">
        <v>4690</v>
      </c>
      <c r="H32" s="537" t="s">
        <v>145</v>
      </c>
      <c r="I32" s="537" t="s">
        <v>676</v>
      </c>
      <c r="J32" s="522" t="s">
        <v>532</v>
      </c>
      <c r="K32" s="202">
        <v>0.32</v>
      </c>
      <c r="L32" s="197" t="s">
        <v>5</v>
      </c>
      <c r="M32" s="524">
        <f t="shared" ref="M32" si="24">K32*13550.14</f>
        <v>4336.0447999999997</v>
      </c>
      <c r="N32" s="537" t="s">
        <v>676</v>
      </c>
      <c r="O32" s="537" t="s">
        <v>160</v>
      </c>
      <c r="P32" s="539" t="s">
        <v>532</v>
      </c>
      <c r="Q32" s="202">
        <v>0.35</v>
      </c>
      <c r="R32" s="197" t="s">
        <v>5</v>
      </c>
      <c r="S32" s="524">
        <f>Q32*14107.07</f>
        <v>4937.4744999999994</v>
      </c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204"/>
    </row>
    <row r="33" spans="1:65" s="209" customFormat="1" ht="15" customHeight="1" x14ac:dyDescent="0.25">
      <c r="A33" s="401"/>
      <c r="B33" s="433" t="s">
        <v>445</v>
      </c>
      <c r="C33" s="556" t="s">
        <v>446</v>
      </c>
      <c r="D33" s="534">
        <v>0.67</v>
      </c>
      <c r="E33" s="536">
        <v>4690</v>
      </c>
      <c r="F33" s="534">
        <v>0.67</v>
      </c>
      <c r="G33" s="536">
        <v>4690</v>
      </c>
      <c r="H33" s="538" t="s">
        <v>145</v>
      </c>
      <c r="I33" s="538" t="s">
        <v>160</v>
      </c>
      <c r="J33" s="523"/>
      <c r="K33" s="202">
        <v>4690</v>
      </c>
      <c r="L33" s="197" t="s">
        <v>8</v>
      </c>
      <c r="M33" s="525"/>
      <c r="N33" s="538" t="s">
        <v>145</v>
      </c>
      <c r="O33" s="538" t="s">
        <v>160</v>
      </c>
      <c r="P33" s="540" t="s">
        <v>626</v>
      </c>
      <c r="Q33" s="202">
        <f>Q32*7000</f>
        <v>2450</v>
      </c>
      <c r="R33" s="197" t="s">
        <v>8</v>
      </c>
      <c r="S33" s="525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204"/>
    </row>
    <row r="34" spans="1:65" ht="15" customHeight="1" x14ac:dyDescent="0.25">
      <c r="A34" s="400">
        <v>13</v>
      </c>
      <c r="B34" s="459">
        <v>2449163</v>
      </c>
      <c r="C34" s="549" t="s">
        <v>462</v>
      </c>
      <c r="D34" s="516">
        <v>5.47</v>
      </c>
      <c r="E34" s="518">
        <v>38290</v>
      </c>
      <c r="F34" s="516">
        <v>5.47</v>
      </c>
      <c r="G34" s="518">
        <v>38290</v>
      </c>
      <c r="H34" s="520"/>
      <c r="I34" s="520"/>
      <c r="J34" s="522"/>
      <c r="K34" s="222"/>
      <c r="L34" s="141"/>
      <c r="M34" s="524"/>
      <c r="N34" s="520" t="s">
        <v>145</v>
      </c>
      <c r="O34" s="520" t="s">
        <v>628</v>
      </c>
      <c r="P34" s="539" t="s">
        <v>532</v>
      </c>
      <c r="Q34" s="222">
        <v>3.47</v>
      </c>
      <c r="R34" s="141" t="s">
        <v>5</v>
      </c>
      <c r="S34" s="524">
        <f>Q34*14107.07+10580</f>
        <v>59531.532899999998</v>
      </c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ht="15" customHeight="1" x14ac:dyDescent="0.25">
      <c r="A35" s="401"/>
      <c r="B35" s="460" t="s">
        <v>461</v>
      </c>
      <c r="C35" s="550" t="s">
        <v>462</v>
      </c>
      <c r="D35" s="517">
        <v>5.47</v>
      </c>
      <c r="E35" s="519">
        <v>38290</v>
      </c>
      <c r="F35" s="517">
        <v>5.47</v>
      </c>
      <c r="G35" s="519">
        <v>38290</v>
      </c>
      <c r="H35" s="521"/>
      <c r="I35" s="521"/>
      <c r="J35" s="523"/>
      <c r="K35" s="222"/>
      <c r="L35" s="141"/>
      <c r="M35" s="525"/>
      <c r="N35" s="521" t="s">
        <v>145</v>
      </c>
      <c r="O35" s="521" t="s">
        <v>628</v>
      </c>
      <c r="P35" s="540" t="s">
        <v>626</v>
      </c>
      <c r="Q35" s="222">
        <f>Q34*7000</f>
        <v>24290</v>
      </c>
      <c r="R35" s="141" t="s">
        <v>8</v>
      </c>
      <c r="S35" s="525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s="209" customFormat="1" ht="15" customHeight="1" x14ac:dyDescent="0.25">
      <c r="A36" s="400">
        <v>14</v>
      </c>
      <c r="B36" s="541">
        <v>2448235</v>
      </c>
      <c r="C36" s="549" t="s">
        <v>455</v>
      </c>
      <c r="D36" s="533">
        <v>1.76</v>
      </c>
      <c r="E36" s="535">
        <v>12320</v>
      </c>
      <c r="F36" s="533">
        <v>1.76</v>
      </c>
      <c r="G36" s="535">
        <v>12320</v>
      </c>
      <c r="H36" s="569"/>
      <c r="I36" s="569"/>
      <c r="J36" s="539"/>
      <c r="K36" s="197"/>
      <c r="L36" s="197"/>
      <c r="M36" s="463"/>
      <c r="N36" s="537" t="s">
        <v>145</v>
      </c>
      <c r="O36" s="537" t="s">
        <v>630</v>
      </c>
      <c r="P36" s="539" t="s">
        <v>532</v>
      </c>
      <c r="Q36" s="202">
        <v>1.76</v>
      </c>
      <c r="R36" s="197" t="s">
        <v>5</v>
      </c>
      <c r="S36" s="524">
        <f t="shared" ref="S36" si="25">Q36*14107.07</f>
        <v>24828.443199999998</v>
      </c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J36" s="291"/>
      <c r="AL36" s="139"/>
      <c r="AM36" s="139"/>
      <c r="AN36" s="139"/>
      <c r="AO36" s="139"/>
      <c r="AP36" s="139"/>
      <c r="AQ36" s="139"/>
      <c r="AR36" s="204"/>
    </row>
    <row r="37" spans="1:65" s="209" customFormat="1" ht="15" customHeight="1" x14ac:dyDescent="0.25">
      <c r="A37" s="401"/>
      <c r="B37" s="542" t="s">
        <v>454</v>
      </c>
      <c r="C37" s="550" t="s">
        <v>455</v>
      </c>
      <c r="D37" s="534">
        <v>1.76</v>
      </c>
      <c r="E37" s="536">
        <v>12320</v>
      </c>
      <c r="F37" s="534">
        <v>1.76</v>
      </c>
      <c r="G37" s="536">
        <v>12320</v>
      </c>
      <c r="H37" s="570"/>
      <c r="I37" s="570"/>
      <c r="J37" s="540"/>
      <c r="K37" s="197"/>
      <c r="L37" s="197"/>
      <c r="M37" s="464"/>
      <c r="N37" s="538" t="s">
        <v>145</v>
      </c>
      <c r="O37" s="538" t="s">
        <v>630</v>
      </c>
      <c r="P37" s="540" t="s">
        <v>626</v>
      </c>
      <c r="Q37" s="202">
        <f>Q36*7000</f>
        <v>12320</v>
      </c>
      <c r="R37" s="197" t="s">
        <v>8</v>
      </c>
      <c r="S37" s="525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J37" s="291"/>
      <c r="AL37" s="139"/>
      <c r="AM37" s="139"/>
      <c r="AN37" s="139"/>
      <c r="AO37" s="139"/>
      <c r="AP37" s="139"/>
      <c r="AQ37" s="139"/>
      <c r="AR37" s="204"/>
    </row>
    <row r="38" spans="1:65" ht="15" customHeight="1" x14ac:dyDescent="0.25">
      <c r="A38" s="400">
        <v>15</v>
      </c>
      <c r="B38" s="459">
        <v>2449138</v>
      </c>
      <c r="C38" s="529" t="s">
        <v>375</v>
      </c>
      <c r="D38" s="516">
        <v>0.89</v>
      </c>
      <c r="E38" s="518">
        <v>3360</v>
      </c>
      <c r="F38" s="516">
        <v>0.89</v>
      </c>
      <c r="G38" s="518">
        <v>3360</v>
      </c>
      <c r="H38" s="520"/>
      <c r="I38" s="520"/>
      <c r="J38" s="565"/>
      <c r="K38" s="222"/>
      <c r="L38" s="141"/>
      <c r="M38" s="561"/>
      <c r="N38" s="567" t="s">
        <v>145</v>
      </c>
      <c r="O38" s="567" t="s">
        <v>678</v>
      </c>
      <c r="P38" s="539" t="s">
        <v>532</v>
      </c>
      <c r="Q38" s="226">
        <v>0.89400000000000002</v>
      </c>
      <c r="R38" s="292" t="s">
        <v>5</v>
      </c>
      <c r="S38" s="524">
        <f t="shared" ref="S38" si="26">Q38*14107.07</f>
        <v>12611.720579999999</v>
      </c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22"/>
      <c r="AJ38" s="141"/>
      <c r="AK38" s="561"/>
      <c r="AL38" s="280"/>
      <c r="AM38" s="280"/>
      <c r="AN38" s="280"/>
      <c r="AO38" s="280"/>
      <c r="AP38" s="280"/>
      <c r="AQ38" s="280"/>
      <c r="AR38" s="280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ht="15" customHeight="1" x14ac:dyDescent="0.25">
      <c r="A39" s="401"/>
      <c r="B39" s="460" t="s">
        <v>374</v>
      </c>
      <c r="C39" s="530" t="s">
        <v>375</v>
      </c>
      <c r="D39" s="517">
        <v>0.48</v>
      </c>
      <c r="E39" s="519">
        <v>3360</v>
      </c>
      <c r="F39" s="517">
        <v>0.48</v>
      </c>
      <c r="G39" s="519">
        <v>3360</v>
      </c>
      <c r="H39" s="521"/>
      <c r="I39" s="521"/>
      <c r="J39" s="566"/>
      <c r="K39" s="222"/>
      <c r="L39" s="141"/>
      <c r="M39" s="562"/>
      <c r="N39" s="568"/>
      <c r="O39" s="568"/>
      <c r="P39" s="540" t="s">
        <v>626</v>
      </c>
      <c r="Q39" s="226">
        <f>Q38*7000</f>
        <v>6258</v>
      </c>
      <c r="R39" s="292" t="s">
        <v>637</v>
      </c>
      <c r="S39" s="525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22"/>
      <c r="AJ39" s="141"/>
      <c r="AK39" s="562"/>
      <c r="AL39" s="280"/>
      <c r="AM39" s="280"/>
      <c r="AN39" s="280"/>
      <c r="AO39" s="280"/>
      <c r="AP39" s="280"/>
      <c r="AQ39" s="280"/>
      <c r="AR39" s="280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ht="15" customHeight="1" x14ac:dyDescent="0.25">
      <c r="A40" s="400">
        <v>16</v>
      </c>
      <c r="B40" s="543"/>
      <c r="C40" s="563" t="s">
        <v>633</v>
      </c>
      <c r="D40" s="516">
        <v>2.8</v>
      </c>
      <c r="E40" s="518">
        <v>19600</v>
      </c>
      <c r="F40" s="516">
        <v>2.8</v>
      </c>
      <c r="G40" s="518">
        <v>19600</v>
      </c>
      <c r="H40" s="520"/>
      <c r="I40" s="520"/>
      <c r="J40" s="565"/>
      <c r="K40" s="222"/>
      <c r="L40" s="141"/>
      <c r="M40" s="561"/>
      <c r="N40" s="520" t="s">
        <v>145</v>
      </c>
      <c r="O40" s="520" t="s">
        <v>534</v>
      </c>
      <c r="P40" s="539" t="s">
        <v>532</v>
      </c>
      <c r="Q40" s="222">
        <v>2.8</v>
      </c>
      <c r="R40" s="141" t="s">
        <v>5</v>
      </c>
      <c r="S40" s="524">
        <f t="shared" ref="S40" si="27">Q40*14107.07</f>
        <v>39499.795999999995</v>
      </c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ht="15" customHeight="1" x14ac:dyDescent="0.25">
      <c r="A41" s="401"/>
      <c r="B41" s="544"/>
      <c r="C41" s="564" t="s">
        <v>633</v>
      </c>
      <c r="D41" s="517">
        <v>2.8</v>
      </c>
      <c r="E41" s="519">
        <v>19600</v>
      </c>
      <c r="F41" s="517">
        <v>2.8</v>
      </c>
      <c r="G41" s="519">
        <v>19600</v>
      </c>
      <c r="H41" s="521"/>
      <c r="I41" s="521"/>
      <c r="J41" s="566"/>
      <c r="K41" s="222"/>
      <c r="L41" s="141"/>
      <c r="M41" s="562"/>
      <c r="N41" s="521" t="s">
        <v>145</v>
      </c>
      <c r="O41" s="521" t="s">
        <v>534</v>
      </c>
      <c r="P41" s="540" t="s">
        <v>626</v>
      </c>
      <c r="Q41" s="222">
        <f>Q40*7000</f>
        <v>19600</v>
      </c>
      <c r="R41" s="141" t="s">
        <v>8</v>
      </c>
      <c r="S41" s="525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s="209" customFormat="1" ht="15" customHeight="1" x14ac:dyDescent="0.25">
      <c r="A42" s="400">
        <v>18</v>
      </c>
      <c r="B42" s="432">
        <v>2448524</v>
      </c>
      <c r="C42" s="545" t="s">
        <v>469</v>
      </c>
      <c r="D42" s="516">
        <v>0.48</v>
      </c>
      <c r="E42" s="535">
        <f t="shared" ref="E42" si="28">D42*7000</f>
        <v>3360</v>
      </c>
      <c r="F42" s="533">
        <v>0.48</v>
      </c>
      <c r="G42" s="535">
        <f t="shared" ref="G42" si="29">F42*7000</f>
        <v>3360</v>
      </c>
      <c r="H42" s="537"/>
      <c r="I42" s="537"/>
      <c r="J42" s="573"/>
      <c r="K42" s="202"/>
      <c r="L42" s="197"/>
      <c r="M42" s="463"/>
      <c r="N42" s="520" t="s">
        <v>145</v>
      </c>
      <c r="O42" s="520" t="s">
        <v>537</v>
      </c>
      <c r="P42" s="539" t="s">
        <v>532</v>
      </c>
      <c r="Q42" s="222">
        <v>0.48</v>
      </c>
      <c r="R42" s="141" t="s">
        <v>5</v>
      </c>
      <c r="S42" s="524">
        <f t="shared" ref="S42" si="30">Q42*14107.07</f>
        <v>6771.3935999999994</v>
      </c>
      <c r="T42" s="520"/>
      <c r="U42" s="520"/>
      <c r="V42" s="539"/>
      <c r="W42" s="202"/>
      <c r="X42" s="197"/>
      <c r="Y42" s="571"/>
      <c r="Z42" s="155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204"/>
    </row>
    <row r="43" spans="1:65" s="209" customFormat="1" ht="15" customHeight="1" x14ac:dyDescent="0.25">
      <c r="A43" s="401"/>
      <c r="B43" s="433"/>
      <c r="C43" s="546"/>
      <c r="D43" s="517"/>
      <c r="E43" s="536"/>
      <c r="F43" s="534"/>
      <c r="G43" s="536"/>
      <c r="H43" s="538"/>
      <c r="I43" s="538"/>
      <c r="J43" s="574"/>
      <c r="K43" s="202"/>
      <c r="L43" s="197"/>
      <c r="M43" s="464"/>
      <c r="N43" s="521" t="s">
        <v>145</v>
      </c>
      <c r="O43" s="521" t="s">
        <v>534</v>
      </c>
      <c r="P43" s="540" t="s">
        <v>626</v>
      </c>
      <c r="Q43" s="222">
        <f>Q42*7000</f>
        <v>3360</v>
      </c>
      <c r="R43" s="141" t="s">
        <v>8</v>
      </c>
      <c r="S43" s="525"/>
      <c r="T43" s="521"/>
      <c r="U43" s="521"/>
      <c r="V43" s="540"/>
      <c r="W43" s="202"/>
      <c r="X43" s="197"/>
      <c r="Y43" s="572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204"/>
    </row>
    <row r="44" spans="1:65" s="209" customFormat="1" ht="15" customHeight="1" x14ac:dyDescent="0.25">
      <c r="A44" s="400">
        <v>19</v>
      </c>
      <c r="B44" s="432">
        <v>2449028</v>
      </c>
      <c r="C44" s="545" t="s">
        <v>442</v>
      </c>
      <c r="D44" s="516">
        <v>3.74</v>
      </c>
      <c r="E44" s="535">
        <f>D44*7000</f>
        <v>26180</v>
      </c>
      <c r="F44" s="533">
        <v>3.74</v>
      </c>
      <c r="G44" s="535">
        <f t="shared" ref="G44" si="31">F44*7000</f>
        <v>26180</v>
      </c>
      <c r="H44" s="537"/>
      <c r="I44" s="537"/>
      <c r="J44" s="573"/>
      <c r="K44" s="202"/>
      <c r="L44" s="197"/>
      <c r="M44" s="463"/>
      <c r="N44" s="197"/>
      <c r="O44" s="197"/>
      <c r="P44" s="569"/>
      <c r="Q44" s="197"/>
      <c r="R44" s="197"/>
      <c r="S44" s="139"/>
      <c r="T44" s="520" t="s">
        <v>145</v>
      </c>
      <c r="U44" s="520" t="s">
        <v>662</v>
      </c>
      <c r="V44" s="539" t="s">
        <v>532</v>
      </c>
      <c r="W44" s="202">
        <v>0.21</v>
      </c>
      <c r="X44" s="197" t="s">
        <v>5</v>
      </c>
      <c r="Y44" s="571">
        <f>W44*16942.32-0.056</f>
        <v>3557.8311999999996</v>
      </c>
      <c r="Z44" s="155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204"/>
    </row>
    <row r="45" spans="1:65" s="209" customFormat="1" ht="15" customHeight="1" x14ac:dyDescent="0.25">
      <c r="A45" s="401"/>
      <c r="B45" s="433"/>
      <c r="C45" s="546"/>
      <c r="D45" s="517"/>
      <c r="E45" s="536"/>
      <c r="F45" s="534"/>
      <c r="G45" s="536"/>
      <c r="H45" s="538"/>
      <c r="I45" s="538"/>
      <c r="J45" s="574"/>
      <c r="K45" s="202"/>
      <c r="L45" s="197"/>
      <c r="M45" s="464"/>
      <c r="N45" s="197"/>
      <c r="O45" s="197"/>
      <c r="P45" s="570"/>
      <c r="Q45" s="197"/>
      <c r="R45" s="197"/>
      <c r="S45" s="139"/>
      <c r="T45" s="521"/>
      <c r="U45" s="521"/>
      <c r="V45" s="540"/>
      <c r="W45" s="202">
        <f>W44*7000</f>
        <v>1470</v>
      </c>
      <c r="X45" s="197" t="s">
        <v>8</v>
      </c>
      <c r="Y45" s="572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204"/>
    </row>
    <row r="46" spans="1:65" s="209" customFormat="1" ht="15" customHeight="1" x14ac:dyDescent="0.25">
      <c r="A46" s="400">
        <v>20</v>
      </c>
      <c r="B46" s="541">
        <v>2449188</v>
      </c>
      <c r="C46" s="529" t="s">
        <v>663</v>
      </c>
      <c r="D46" s="533">
        <v>0.53</v>
      </c>
      <c r="E46" s="535">
        <f t="shared" ref="E46" si="32">D46*7000</f>
        <v>3710</v>
      </c>
      <c r="F46" s="533">
        <f>D46</f>
        <v>0.53</v>
      </c>
      <c r="G46" s="535">
        <f t="shared" ref="G46" si="33">F46*7000</f>
        <v>3710</v>
      </c>
      <c r="H46" s="569"/>
      <c r="I46" s="569"/>
      <c r="J46" s="539"/>
      <c r="K46" s="197"/>
      <c r="L46" s="197"/>
      <c r="M46" s="463"/>
      <c r="N46" s="197"/>
      <c r="O46" s="197"/>
      <c r="P46" s="569"/>
      <c r="Q46" s="197"/>
      <c r="R46" s="197"/>
      <c r="S46" s="139"/>
      <c r="T46" s="537" t="s">
        <v>145</v>
      </c>
      <c r="U46" s="537" t="s">
        <v>664</v>
      </c>
      <c r="V46" s="539" t="s">
        <v>532</v>
      </c>
      <c r="W46" s="202">
        <v>0.53</v>
      </c>
      <c r="X46" s="197" t="s">
        <v>5</v>
      </c>
      <c r="Y46" s="571">
        <f>W46*16942.32</f>
        <v>8979.4295999999995</v>
      </c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204"/>
    </row>
    <row r="47" spans="1:65" s="209" customFormat="1" ht="15" customHeight="1" x14ac:dyDescent="0.25">
      <c r="A47" s="401"/>
      <c r="B47" s="542"/>
      <c r="C47" s="530"/>
      <c r="D47" s="534"/>
      <c r="E47" s="536"/>
      <c r="F47" s="534"/>
      <c r="G47" s="536"/>
      <c r="H47" s="570"/>
      <c r="I47" s="570"/>
      <c r="J47" s="540"/>
      <c r="K47" s="197"/>
      <c r="L47" s="197"/>
      <c r="M47" s="464"/>
      <c r="N47" s="197"/>
      <c r="O47" s="197"/>
      <c r="P47" s="570"/>
      <c r="Q47" s="197"/>
      <c r="R47" s="197"/>
      <c r="S47" s="139"/>
      <c r="T47" s="538"/>
      <c r="U47" s="538"/>
      <c r="V47" s="540"/>
      <c r="W47" s="202">
        <f>W46*7000</f>
        <v>3710</v>
      </c>
      <c r="X47" s="197" t="s">
        <v>8</v>
      </c>
      <c r="Y47" s="572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204"/>
    </row>
    <row r="48" spans="1:65" ht="15" customHeight="1" x14ac:dyDescent="0.25">
      <c r="A48" s="400">
        <v>21</v>
      </c>
      <c r="B48" s="459">
        <v>2448519</v>
      </c>
      <c r="C48" s="529" t="s">
        <v>384</v>
      </c>
      <c r="D48" s="516">
        <v>0.9</v>
      </c>
      <c r="E48" s="518">
        <v>6300</v>
      </c>
      <c r="F48" s="516">
        <v>0.9</v>
      </c>
      <c r="G48" s="518">
        <v>6300</v>
      </c>
      <c r="H48" s="520"/>
      <c r="I48" s="520"/>
      <c r="J48" s="565"/>
      <c r="K48" s="222"/>
      <c r="L48" s="141"/>
      <c r="M48" s="561"/>
      <c r="N48" s="577"/>
      <c r="O48" s="577"/>
      <c r="P48" s="522"/>
      <c r="Q48" s="141"/>
      <c r="R48" s="141"/>
      <c r="S48" s="490"/>
      <c r="T48" s="520" t="s">
        <v>145</v>
      </c>
      <c r="U48" s="520" t="s">
        <v>538</v>
      </c>
      <c r="V48" s="539" t="s">
        <v>532</v>
      </c>
      <c r="W48" s="222">
        <v>0.44700000000000001</v>
      </c>
      <c r="X48" s="141" t="s">
        <v>5</v>
      </c>
      <c r="Y48" s="571">
        <f t="shared" ref="Y48" si="34">W48*16942.32</f>
        <v>7573.2170400000005</v>
      </c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ht="15" customHeight="1" x14ac:dyDescent="0.25">
      <c r="A49" s="401"/>
      <c r="B49" s="460" t="s">
        <v>383</v>
      </c>
      <c r="C49" s="530" t="s">
        <v>384</v>
      </c>
      <c r="D49" s="517">
        <v>0.9</v>
      </c>
      <c r="E49" s="519">
        <v>6300</v>
      </c>
      <c r="F49" s="517">
        <v>0.9</v>
      </c>
      <c r="G49" s="519">
        <v>6300</v>
      </c>
      <c r="H49" s="521"/>
      <c r="I49" s="521"/>
      <c r="J49" s="566"/>
      <c r="K49" s="222"/>
      <c r="L49" s="141"/>
      <c r="M49" s="562"/>
      <c r="N49" s="578"/>
      <c r="O49" s="578"/>
      <c r="P49" s="523"/>
      <c r="Q49" s="141"/>
      <c r="R49" s="141"/>
      <c r="S49" s="491"/>
      <c r="T49" s="521" t="s">
        <v>145</v>
      </c>
      <c r="U49" s="521" t="s">
        <v>538</v>
      </c>
      <c r="V49" s="540"/>
      <c r="W49" s="222">
        <v>6300</v>
      </c>
      <c r="X49" s="141" t="s">
        <v>8</v>
      </c>
      <c r="Y49" s="572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15" customHeight="1" x14ac:dyDescent="0.25">
      <c r="A50" s="400">
        <v>22</v>
      </c>
      <c r="B50" s="459">
        <v>2446928</v>
      </c>
      <c r="C50" s="529" t="s">
        <v>483</v>
      </c>
      <c r="D50" s="516">
        <v>1.635</v>
      </c>
      <c r="E50" s="518">
        <v>11445</v>
      </c>
      <c r="F50" s="516">
        <v>1.635</v>
      </c>
      <c r="G50" s="518">
        <v>11445</v>
      </c>
      <c r="H50" s="520"/>
      <c r="I50" s="520"/>
      <c r="J50" s="565"/>
      <c r="K50" s="222"/>
      <c r="L50" s="141"/>
      <c r="M50" s="293"/>
      <c r="N50" s="9"/>
      <c r="O50" s="9"/>
      <c r="P50" s="9"/>
      <c r="Q50" s="9"/>
      <c r="R50" s="9"/>
      <c r="S50" s="280"/>
      <c r="T50" s="575" t="s">
        <v>638</v>
      </c>
      <c r="U50" s="575" t="s">
        <v>639</v>
      </c>
      <c r="V50" s="539" t="s">
        <v>532</v>
      </c>
      <c r="W50" s="163">
        <v>0.83799999999999997</v>
      </c>
      <c r="X50" s="283" t="s">
        <v>5</v>
      </c>
      <c r="Y50" s="571">
        <f>W50*16942.32</f>
        <v>14197.664159999998</v>
      </c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ht="15" customHeight="1" x14ac:dyDescent="0.25">
      <c r="A51" s="401"/>
      <c r="B51" s="460" t="s">
        <v>482</v>
      </c>
      <c r="C51" s="530" t="s">
        <v>483</v>
      </c>
      <c r="D51" s="517">
        <v>1.635</v>
      </c>
      <c r="E51" s="519">
        <v>11445</v>
      </c>
      <c r="F51" s="517">
        <v>1.635</v>
      </c>
      <c r="G51" s="519">
        <v>11445</v>
      </c>
      <c r="H51" s="521"/>
      <c r="I51" s="521"/>
      <c r="J51" s="566"/>
      <c r="K51" s="222"/>
      <c r="L51" s="141"/>
      <c r="M51" s="293"/>
      <c r="N51" s="9"/>
      <c r="O51" s="9"/>
      <c r="P51" s="9"/>
      <c r="Q51" s="9"/>
      <c r="R51" s="9"/>
      <c r="S51" s="280"/>
      <c r="T51" s="576"/>
      <c r="U51" s="576"/>
      <c r="V51" s="540"/>
      <c r="W51" s="163">
        <f>2695*2</f>
        <v>5390</v>
      </c>
      <c r="X51" s="283" t="s">
        <v>637</v>
      </c>
      <c r="Y51" s="572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1:65" ht="15" customHeight="1" x14ac:dyDescent="0.25">
      <c r="A52" s="400">
        <v>23</v>
      </c>
      <c r="B52" s="459">
        <v>2448010</v>
      </c>
      <c r="C52" s="529" t="s">
        <v>387</v>
      </c>
      <c r="D52" s="516">
        <v>1.28</v>
      </c>
      <c r="E52" s="518">
        <v>8960</v>
      </c>
      <c r="F52" s="516">
        <v>1.28</v>
      </c>
      <c r="G52" s="518">
        <v>8960</v>
      </c>
      <c r="H52" s="520"/>
      <c r="I52" s="520"/>
      <c r="J52" s="565"/>
      <c r="K52" s="222"/>
      <c r="L52" s="141"/>
      <c r="M52" s="293"/>
      <c r="N52" s="9"/>
      <c r="O52" s="9"/>
      <c r="P52" s="9"/>
      <c r="Q52" s="9"/>
      <c r="R52" s="9"/>
      <c r="S52" s="280"/>
      <c r="T52" s="575" t="s">
        <v>145</v>
      </c>
      <c r="U52" s="575" t="s">
        <v>642</v>
      </c>
      <c r="V52" s="490" t="s">
        <v>42</v>
      </c>
      <c r="W52" s="163">
        <v>1.28</v>
      </c>
      <c r="X52" s="283" t="s">
        <v>5</v>
      </c>
      <c r="Y52" s="571">
        <f t="shared" ref="Y52" si="35">W52*16942.32</f>
        <v>21686.169600000001</v>
      </c>
      <c r="Z52" s="280"/>
      <c r="AA52" s="280"/>
      <c r="AB52" s="280"/>
      <c r="AC52" s="280"/>
      <c r="AD52" s="280"/>
      <c r="AE52" s="280"/>
      <c r="AF52" s="34"/>
      <c r="AG52" s="34"/>
      <c r="AH52" s="34"/>
      <c r="AI52" s="34"/>
      <c r="AJ52" s="34"/>
      <c r="AK52" s="34"/>
      <c r="AL52" s="34"/>
      <c r="AM52" s="34"/>
      <c r="AN52" s="280"/>
      <c r="AO52" s="280"/>
      <c r="AP52" s="280"/>
      <c r="AQ52" s="280"/>
      <c r="AR52" s="280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ht="15" customHeight="1" x14ac:dyDescent="0.25">
      <c r="A53" s="401"/>
      <c r="B53" s="460">
        <v>2448010</v>
      </c>
      <c r="C53" s="530" t="s">
        <v>387</v>
      </c>
      <c r="D53" s="517">
        <v>1.28</v>
      </c>
      <c r="E53" s="519">
        <v>8960</v>
      </c>
      <c r="F53" s="517">
        <v>1.28</v>
      </c>
      <c r="G53" s="519">
        <v>8960</v>
      </c>
      <c r="H53" s="521"/>
      <c r="I53" s="521"/>
      <c r="J53" s="566"/>
      <c r="K53" s="222"/>
      <c r="L53" s="141"/>
      <c r="M53" s="293"/>
      <c r="N53" s="9"/>
      <c r="O53" s="9"/>
      <c r="P53" s="9"/>
      <c r="Q53" s="9"/>
      <c r="R53" s="9"/>
      <c r="S53" s="280"/>
      <c r="T53" s="576"/>
      <c r="U53" s="576"/>
      <c r="V53" s="491"/>
      <c r="W53" s="163">
        <v>8960</v>
      </c>
      <c r="X53" s="283" t="s">
        <v>8</v>
      </c>
      <c r="Y53" s="572"/>
      <c r="Z53" s="280"/>
      <c r="AA53" s="280"/>
      <c r="AB53" s="280"/>
      <c r="AC53" s="280"/>
      <c r="AD53" s="280"/>
      <c r="AE53" s="280"/>
      <c r="AF53" s="34"/>
      <c r="AG53" s="34"/>
      <c r="AH53" s="34"/>
      <c r="AI53" s="34"/>
      <c r="AJ53" s="34"/>
      <c r="AK53" s="34"/>
      <c r="AL53" s="34"/>
      <c r="AM53" s="34"/>
      <c r="AN53" s="280"/>
      <c r="AO53" s="280"/>
      <c r="AP53" s="280"/>
      <c r="AQ53" s="280"/>
      <c r="AR53" s="280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ht="15" customHeight="1" x14ac:dyDescent="0.25">
      <c r="A54" s="400">
        <v>24</v>
      </c>
      <c r="B54" s="543">
        <v>2447382</v>
      </c>
      <c r="C54" s="545" t="s">
        <v>408</v>
      </c>
      <c r="D54" s="516">
        <v>1.79</v>
      </c>
      <c r="E54" s="518">
        <v>12530</v>
      </c>
      <c r="F54" s="516">
        <v>1.79</v>
      </c>
      <c r="G54" s="518">
        <v>12530</v>
      </c>
      <c r="H54" s="520"/>
      <c r="I54" s="520"/>
      <c r="J54" s="565"/>
      <c r="K54" s="222"/>
      <c r="L54" s="141"/>
      <c r="M54" s="293"/>
      <c r="N54" s="9"/>
      <c r="O54" s="9"/>
      <c r="P54" s="9"/>
      <c r="Q54" s="9"/>
      <c r="R54" s="9"/>
      <c r="S54" s="280"/>
      <c r="T54" s="575" t="s">
        <v>145</v>
      </c>
      <c r="U54" s="575" t="s">
        <v>643</v>
      </c>
      <c r="V54" s="539" t="s">
        <v>532</v>
      </c>
      <c r="W54" s="163">
        <v>1.79</v>
      </c>
      <c r="X54" s="283" t="s">
        <v>5</v>
      </c>
      <c r="Y54" s="571">
        <f t="shared" ref="Y54" si="36">W54*16942.32</f>
        <v>30326.752799999998</v>
      </c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 ht="15" customHeight="1" x14ac:dyDescent="0.25">
      <c r="A55" s="401"/>
      <c r="B55" s="544" t="s">
        <v>407</v>
      </c>
      <c r="C55" s="546" t="s">
        <v>408</v>
      </c>
      <c r="D55" s="517">
        <v>1.79</v>
      </c>
      <c r="E55" s="519">
        <v>12530</v>
      </c>
      <c r="F55" s="517">
        <v>1.79</v>
      </c>
      <c r="G55" s="519">
        <v>12530</v>
      </c>
      <c r="H55" s="521"/>
      <c r="I55" s="521"/>
      <c r="J55" s="566"/>
      <c r="K55" s="222"/>
      <c r="L55" s="141"/>
      <c r="M55" s="293"/>
      <c r="N55" s="9"/>
      <c r="O55" s="9"/>
      <c r="P55" s="9"/>
      <c r="Q55" s="9"/>
      <c r="R55" s="9"/>
      <c r="S55" s="280"/>
      <c r="T55" s="576"/>
      <c r="U55" s="576"/>
      <c r="V55" s="540"/>
      <c r="W55" s="163">
        <v>12530</v>
      </c>
      <c r="X55" s="283" t="s">
        <v>8</v>
      </c>
      <c r="Y55" s="572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ht="15" customHeight="1" x14ac:dyDescent="0.25">
      <c r="A56" s="400">
        <v>25</v>
      </c>
      <c r="B56" s="543">
        <v>2446983</v>
      </c>
      <c r="C56" s="545" t="s">
        <v>404</v>
      </c>
      <c r="D56" s="516">
        <v>2.64</v>
      </c>
      <c r="E56" s="518">
        <v>18480</v>
      </c>
      <c r="F56" s="516">
        <v>2.64</v>
      </c>
      <c r="G56" s="518">
        <v>18480</v>
      </c>
      <c r="H56" s="520"/>
      <c r="I56" s="520"/>
      <c r="J56" s="565"/>
      <c r="K56" s="222"/>
      <c r="L56" s="141"/>
      <c r="M56" s="293"/>
      <c r="N56" s="9"/>
      <c r="O56" s="9"/>
      <c r="P56" s="9"/>
      <c r="Q56" s="9"/>
      <c r="R56" s="9"/>
      <c r="S56" s="280"/>
      <c r="T56" s="520" t="s">
        <v>648</v>
      </c>
      <c r="U56" s="520" t="s">
        <v>684</v>
      </c>
      <c r="V56" s="539" t="s">
        <v>532</v>
      </c>
      <c r="W56" s="222">
        <v>0.44</v>
      </c>
      <c r="X56" s="141" t="s">
        <v>5</v>
      </c>
      <c r="Y56" s="571">
        <f t="shared" ref="Y56" si="37">W56*16942.32</f>
        <v>7454.6207999999997</v>
      </c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ht="15" customHeight="1" x14ac:dyDescent="0.25">
      <c r="A57" s="401"/>
      <c r="B57" s="544"/>
      <c r="C57" s="546"/>
      <c r="D57" s="517"/>
      <c r="E57" s="519"/>
      <c r="F57" s="517"/>
      <c r="G57" s="519"/>
      <c r="H57" s="521"/>
      <c r="I57" s="521"/>
      <c r="J57" s="566"/>
      <c r="K57" s="222"/>
      <c r="L57" s="141"/>
      <c r="M57" s="293"/>
      <c r="N57" s="9"/>
      <c r="O57" s="9"/>
      <c r="P57" s="9"/>
      <c r="Q57" s="9"/>
      <c r="R57" s="9"/>
      <c r="S57" s="280"/>
      <c r="T57" s="521"/>
      <c r="U57" s="521"/>
      <c r="V57" s="540"/>
      <c r="W57" s="222">
        <v>6640</v>
      </c>
      <c r="X57" s="141" t="s">
        <v>6</v>
      </c>
      <c r="Y57" s="572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ht="15" customHeight="1" x14ac:dyDescent="0.25">
      <c r="A58" s="400">
        <v>26</v>
      </c>
      <c r="B58" s="543">
        <v>2447399</v>
      </c>
      <c r="C58" s="545" t="s">
        <v>457</v>
      </c>
      <c r="D58" s="516">
        <v>3.81</v>
      </c>
      <c r="E58" s="518">
        <v>26670</v>
      </c>
      <c r="F58" s="516">
        <v>3.81</v>
      </c>
      <c r="G58" s="518">
        <v>26670</v>
      </c>
      <c r="H58" s="520"/>
      <c r="I58" s="520"/>
      <c r="J58" s="565"/>
      <c r="K58" s="222"/>
      <c r="L58" s="141"/>
      <c r="M58" s="293"/>
      <c r="N58" s="9"/>
      <c r="O58" s="9"/>
      <c r="P58" s="9"/>
      <c r="Q58" s="9"/>
      <c r="R58" s="9"/>
      <c r="S58" s="280"/>
      <c r="T58" s="575" t="s">
        <v>145</v>
      </c>
      <c r="U58" s="575" t="s">
        <v>645</v>
      </c>
      <c r="V58" s="539" t="s">
        <v>532</v>
      </c>
      <c r="W58" s="163">
        <v>3.81</v>
      </c>
      <c r="X58" s="283" t="s">
        <v>5</v>
      </c>
      <c r="Y58" s="571">
        <f t="shared" ref="Y58" si="38">W58*16942.32</f>
        <v>64550.239199999996</v>
      </c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ht="15" customHeight="1" x14ac:dyDescent="0.25">
      <c r="A59" s="401"/>
      <c r="B59" s="544" t="s">
        <v>456</v>
      </c>
      <c r="C59" s="546" t="s">
        <v>457</v>
      </c>
      <c r="D59" s="517">
        <v>3.81</v>
      </c>
      <c r="E59" s="519">
        <v>26670</v>
      </c>
      <c r="F59" s="517">
        <v>3.81</v>
      </c>
      <c r="G59" s="519">
        <v>26670</v>
      </c>
      <c r="H59" s="521"/>
      <c r="I59" s="521"/>
      <c r="J59" s="566"/>
      <c r="K59" s="222"/>
      <c r="L59" s="141"/>
      <c r="M59" s="293"/>
      <c r="N59" s="9"/>
      <c r="O59" s="9"/>
      <c r="P59" s="9"/>
      <c r="Q59" s="9"/>
      <c r="R59" s="9"/>
      <c r="S59" s="280"/>
      <c r="T59" s="576"/>
      <c r="U59" s="576"/>
      <c r="V59" s="540"/>
      <c r="W59" s="163">
        <v>26670</v>
      </c>
      <c r="X59" s="283" t="s">
        <v>6</v>
      </c>
      <c r="Y59" s="572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 s="54" customFormat="1" ht="15" customHeight="1" x14ac:dyDescent="0.25">
      <c r="A60" s="400">
        <v>27</v>
      </c>
      <c r="B60" s="559">
        <v>2447932</v>
      </c>
      <c r="C60" s="549" t="s">
        <v>665</v>
      </c>
      <c r="D60" s="516">
        <v>1.95</v>
      </c>
      <c r="E60" s="518">
        <f t="shared" ref="E60" si="39">D60*7000</f>
        <v>13650</v>
      </c>
      <c r="F60" s="516">
        <f>D60</f>
        <v>1.95</v>
      </c>
      <c r="G60" s="518">
        <f t="shared" ref="G60" si="40">F60*7000</f>
        <v>13650</v>
      </c>
      <c r="H60" s="577"/>
      <c r="I60" s="577"/>
      <c r="J60" s="522"/>
      <c r="K60" s="141"/>
      <c r="L60" s="141"/>
      <c r="M60" s="561"/>
      <c r="N60" s="141"/>
      <c r="O60" s="141"/>
      <c r="P60" s="141"/>
      <c r="Q60" s="141"/>
      <c r="R60" s="141"/>
      <c r="S60" s="225"/>
      <c r="T60" s="520" t="s">
        <v>145</v>
      </c>
      <c r="U60" s="520" t="s">
        <v>629</v>
      </c>
      <c r="V60" s="522" t="s">
        <v>532</v>
      </c>
      <c r="W60" s="222">
        <v>1.95</v>
      </c>
      <c r="X60" s="141" t="s">
        <v>5</v>
      </c>
      <c r="Y60" s="579">
        <f t="shared" ref="Y60" si="41">W60*16942.32</f>
        <v>33037.523999999998</v>
      </c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577"/>
      <c r="AM60" s="577"/>
      <c r="AN60" s="522"/>
      <c r="AO60" s="141"/>
      <c r="AP60" s="141"/>
      <c r="AQ60" s="579"/>
      <c r="AR60" s="34"/>
    </row>
    <row r="61" spans="1:65" s="54" customFormat="1" ht="15" customHeight="1" x14ac:dyDescent="0.25">
      <c r="A61" s="401"/>
      <c r="B61" s="560"/>
      <c r="C61" s="550"/>
      <c r="D61" s="517"/>
      <c r="E61" s="519"/>
      <c r="F61" s="517"/>
      <c r="G61" s="519"/>
      <c r="H61" s="578"/>
      <c r="I61" s="578"/>
      <c r="J61" s="523"/>
      <c r="K61" s="141"/>
      <c r="L61" s="141"/>
      <c r="M61" s="562"/>
      <c r="N61" s="141"/>
      <c r="O61" s="141"/>
      <c r="P61" s="141"/>
      <c r="Q61" s="141"/>
      <c r="R61" s="141"/>
      <c r="S61" s="225"/>
      <c r="T61" s="521"/>
      <c r="U61" s="521"/>
      <c r="V61" s="523"/>
      <c r="W61" s="222">
        <f>W60*7000</f>
        <v>13650</v>
      </c>
      <c r="X61" s="141" t="s">
        <v>8</v>
      </c>
      <c r="Y61" s="580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578"/>
      <c r="AM61" s="578"/>
      <c r="AN61" s="523"/>
      <c r="AO61" s="141"/>
      <c r="AP61" s="141"/>
      <c r="AQ61" s="580"/>
      <c r="AR61" s="34"/>
    </row>
    <row r="62" spans="1:65" s="54" customFormat="1" ht="15" customHeight="1" x14ac:dyDescent="0.25">
      <c r="A62" s="400">
        <v>28</v>
      </c>
      <c r="B62" s="559">
        <v>2448871</v>
      </c>
      <c r="C62" s="549" t="s">
        <v>666</v>
      </c>
      <c r="D62" s="516">
        <v>1.1000000000000001</v>
      </c>
      <c r="E62" s="518">
        <f t="shared" ref="E62" si="42">D62*7000</f>
        <v>7700.0000000000009</v>
      </c>
      <c r="F62" s="516">
        <f>D62</f>
        <v>1.1000000000000001</v>
      </c>
      <c r="G62" s="518">
        <f t="shared" ref="G62" si="43">F62*7000</f>
        <v>7700.0000000000009</v>
      </c>
      <c r="H62" s="577"/>
      <c r="I62" s="577"/>
      <c r="J62" s="522"/>
      <c r="K62" s="141"/>
      <c r="L62" s="141"/>
      <c r="M62" s="561"/>
      <c r="N62" s="141"/>
      <c r="O62" s="141"/>
      <c r="P62" s="141"/>
      <c r="Q62" s="141"/>
      <c r="R62" s="141"/>
      <c r="S62" s="225"/>
      <c r="T62" s="520" t="s">
        <v>145</v>
      </c>
      <c r="U62" s="520" t="s">
        <v>150</v>
      </c>
      <c r="V62" s="522" t="s">
        <v>532</v>
      </c>
      <c r="W62" s="222">
        <v>1.1000000000000001</v>
      </c>
      <c r="X62" s="141" t="s">
        <v>5</v>
      </c>
      <c r="Y62" s="579">
        <f t="shared" ref="Y62" si="44">W62*16942.32</f>
        <v>18636.552</v>
      </c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577"/>
      <c r="AM62" s="577"/>
      <c r="AN62" s="522"/>
      <c r="AO62" s="141"/>
      <c r="AP62" s="141"/>
      <c r="AQ62" s="579"/>
      <c r="AR62" s="34"/>
    </row>
    <row r="63" spans="1:65" s="54" customFormat="1" ht="15" customHeight="1" x14ac:dyDescent="0.25">
      <c r="A63" s="401"/>
      <c r="B63" s="560"/>
      <c r="C63" s="550"/>
      <c r="D63" s="517"/>
      <c r="E63" s="519"/>
      <c r="F63" s="517"/>
      <c r="G63" s="519"/>
      <c r="H63" s="578"/>
      <c r="I63" s="578"/>
      <c r="J63" s="523"/>
      <c r="K63" s="141"/>
      <c r="L63" s="141"/>
      <c r="M63" s="562"/>
      <c r="N63" s="141"/>
      <c r="O63" s="141"/>
      <c r="P63" s="141"/>
      <c r="Q63" s="141"/>
      <c r="R63" s="141"/>
      <c r="S63" s="225"/>
      <c r="T63" s="521"/>
      <c r="U63" s="521"/>
      <c r="V63" s="523"/>
      <c r="W63" s="222">
        <f>W62*7000</f>
        <v>7700.0000000000009</v>
      </c>
      <c r="X63" s="141" t="s">
        <v>8</v>
      </c>
      <c r="Y63" s="580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578"/>
      <c r="AM63" s="578"/>
      <c r="AN63" s="523"/>
      <c r="AO63" s="141"/>
      <c r="AP63" s="141"/>
      <c r="AQ63" s="580"/>
      <c r="AR63" s="34"/>
    </row>
    <row r="64" spans="1:65" s="209" customFormat="1" ht="15" customHeight="1" x14ac:dyDescent="0.25">
      <c r="A64" s="400">
        <v>29</v>
      </c>
      <c r="B64" s="432">
        <v>2448219</v>
      </c>
      <c r="C64" s="545" t="s">
        <v>465</v>
      </c>
      <c r="D64" s="533">
        <v>0.73</v>
      </c>
      <c r="E64" s="535">
        <v>5110</v>
      </c>
      <c r="F64" s="533">
        <v>0.73</v>
      </c>
      <c r="G64" s="535">
        <v>5110</v>
      </c>
      <c r="H64" s="537"/>
      <c r="I64" s="537"/>
      <c r="J64" s="573"/>
      <c r="K64" s="202"/>
      <c r="L64" s="197"/>
      <c r="M64" s="294"/>
      <c r="N64" s="197"/>
      <c r="O64" s="197"/>
      <c r="P64" s="197"/>
      <c r="Q64" s="197"/>
      <c r="R64" s="197"/>
      <c r="S64" s="139"/>
      <c r="T64" s="139"/>
      <c r="U64" s="139"/>
      <c r="V64" s="139"/>
      <c r="W64" s="139"/>
      <c r="X64" s="139"/>
      <c r="Y64" s="139"/>
      <c r="Z64" s="583" t="s">
        <v>145</v>
      </c>
      <c r="AA64" s="583" t="s">
        <v>158</v>
      </c>
      <c r="AB64" s="422" t="s">
        <v>532</v>
      </c>
      <c r="AC64" s="162">
        <v>0.73</v>
      </c>
      <c r="AD64" s="139" t="s">
        <v>5</v>
      </c>
      <c r="AE64" s="581">
        <f>AC64*18584.1-0.33</f>
        <v>13566.062999999998</v>
      </c>
      <c r="AF64" s="537"/>
      <c r="AG64" s="537"/>
      <c r="AH64" s="573"/>
      <c r="AI64" s="202"/>
      <c r="AJ64" s="197"/>
      <c r="AK64" s="463"/>
      <c r="AL64" s="139"/>
      <c r="AM64" s="139"/>
      <c r="AN64" s="139"/>
      <c r="AO64" s="139"/>
      <c r="AP64" s="139"/>
      <c r="AQ64" s="139"/>
      <c r="AR64" s="204"/>
    </row>
    <row r="65" spans="1:65" s="209" customFormat="1" ht="15" customHeight="1" x14ac:dyDescent="0.25">
      <c r="A65" s="401"/>
      <c r="B65" s="433" t="s">
        <v>436</v>
      </c>
      <c r="C65" s="546" t="s">
        <v>437</v>
      </c>
      <c r="D65" s="534">
        <v>0.73</v>
      </c>
      <c r="E65" s="536">
        <v>5110</v>
      </c>
      <c r="F65" s="534">
        <v>0.73</v>
      </c>
      <c r="G65" s="536">
        <v>5110</v>
      </c>
      <c r="H65" s="538"/>
      <c r="I65" s="538"/>
      <c r="J65" s="574"/>
      <c r="K65" s="202"/>
      <c r="L65" s="197"/>
      <c r="M65" s="294"/>
      <c r="N65" s="197"/>
      <c r="O65" s="197"/>
      <c r="P65" s="197"/>
      <c r="Q65" s="197"/>
      <c r="R65" s="197"/>
      <c r="S65" s="139"/>
      <c r="T65" s="139"/>
      <c r="U65" s="139"/>
      <c r="V65" s="139"/>
      <c r="W65" s="139"/>
      <c r="X65" s="139"/>
      <c r="Y65" s="139"/>
      <c r="Z65" s="584"/>
      <c r="AA65" s="584"/>
      <c r="AB65" s="423"/>
      <c r="AC65" s="162">
        <v>5110</v>
      </c>
      <c r="AD65" s="139" t="s">
        <v>637</v>
      </c>
      <c r="AE65" s="582"/>
      <c r="AF65" s="538"/>
      <c r="AG65" s="538"/>
      <c r="AH65" s="574"/>
      <c r="AI65" s="202"/>
      <c r="AJ65" s="197"/>
      <c r="AK65" s="464"/>
      <c r="AL65" s="139"/>
      <c r="AM65" s="139"/>
      <c r="AN65" s="139"/>
      <c r="AO65" s="139"/>
      <c r="AP65" s="139"/>
      <c r="AQ65" s="139"/>
      <c r="AR65" s="204"/>
    </row>
    <row r="66" spans="1:65" s="209" customFormat="1" ht="15" customHeight="1" x14ac:dyDescent="0.25">
      <c r="A66" s="400">
        <v>30</v>
      </c>
      <c r="B66" s="432">
        <v>2447635</v>
      </c>
      <c r="C66" s="545" t="s">
        <v>667</v>
      </c>
      <c r="D66" s="533">
        <v>1.68</v>
      </c>
      <c r="E66" s="535">
        <v>11760</v>
      </c>
      <c r="F66" s="533">
        <v>1.68</v>
      </c>
      <c r="G66" s="535">
        <v>11760</v>
      </c>
      <c r="H66" s="537"/>
      <c r="I66" s="537"/>
      <c r="J66" s="573"/>
      <c r="K66" s="202"/>
      <c r="L66" s="197"/>
      <c r="M66" s="294"/>
      <c r="N66" s="197"/>
      <c r="O66" s="197"/>
      <c r="P66" s="197"/>
      <c r="Q66" s="197"/>
      <c r="R66" s="197"/>
      <c r="S66" s="139"/>
      <c r="T66" s="139"/>
      <c r="U66" s="139"/>
      <c r="V66" s="139"/>
      <c r="W66" s="139"/>
      <c r="X66" s="139"/>
      <c r="Y66" s="139"/>
      <c r="Z66" s="583" t="s">
        <v>145</v>
      </c>
      <c r="AA66" s="583" t="s">
        <v>644</v>
      </c>
      <c r="AB66" s="422" t="s">
        <v>532</v>
      </c>
      <c r="AC66" s="162">
        <v>1.27</v>
      </c>
      <c r="AD66" s="139" t="s">
        <v>5</v>
      </c>
      <c r="AE66" s="581">
        <v>12637.19</v>
      </c>
      <c r="AF66" s="537"/>
      <c r="AG66" s="537"/>
      <c r="AH66" s="573"/>
      <c r="AI66" s="202"/>
      <c r="AJ66" s="197"/>
      <c r="AK66" s="463"/>
      <c r="AL66" s="139"/>
      <c r="AM66" s="139"/>
      <c r="AN66" s="139"/>
      <c r="AO66" s="139"/>
      <c r="AP66" s="139"/>
      <c r="AQ66" s="139"/>
      <c r="AR66" s="204"/>
    </row>
    <row r="67" spans="1:65" s="209" customFormat="1" ht="15" customHeight="1" x14ac:dyDescent="0.25">
      <c r="A67" s="401"/>
      <c r="B67" s="433"/>
      <c r="C67" s="546"/>
      <c r="D67" s="534"/>
      <c r="E67" s="536">
        <v>4760</v>
      </c>
      <c r="F67" s="534">
        <v>0.68</v>
      </c>
      <c r="G67" s="536">
        <v>4760</v>
      </c>
      <c r="H67" s="538"/>
      <c r="I67" s="538"/>
      <c r="J67" s="574"/>
      <c r="K67" s="202"/>
      <c r="L67" s="197"/>
      <c r="M67" s="294"/>
      <c r="N67" s="197"/>
      <c r="O67" s="197"/>
      <c r="P67" s="197"/>
      <c r="Q67" s="197"/>
      <c r="R67" s="197"/>
      <c r="S67" s="139"/>
      <c r="T67" s="139"/>
      <c r="U67" s="139"/>
      <c r="V67" s="139"/>
      <c r="W67" s="139"/>
      <c r="X67" s="139"/>
      <c r="Y67" s="139"/>
      <c r="Z67" s="584"/>
      <c r="AA67" s="584"/>
      <c r="AB67" s="423"/>
      <c r="AC67" s="162">
        <v>4760</v>
      </c>
      <c r="AD67" s="139" t="s">
        <v>637</v>
      </c>
      <c r="AE67" s="582"/>
      <c r="AF67" s="538"/>
      <c r="AG67" s="538"/>
      <c r="AH67" s="574"/>
      <c r="AI67" s="202"/>
      <c r="AJ67" s="197"/>
      <c r="AK67" s="464"/>
      <c r="AL67" s="139"/>
      <c r="AM67" s="139"/>
      <c r="AN67" s="139"/>
      <c r="AO67" s="139"/>
      <c r="AP67" s="139"/>
      <c r="AQ67" s="139"/>
      <c r="AR67" s="204"/>
    </row>
    <row r="68" spans="1:65" ht="15" customHeight="1" x14ac:dyDescent="0.25">
      <c r="A68" s="400">
        <v>31</v>
      </c>
      <c r="B68" s="543">
        <v>2447111</v>
      </c>
      <c r="C68" s="545" t="s">
        <v>485</v>
      </c>
      <c r="D68" s="516">
        <v>1.65</v>
      </c>
      <c r="E68" s="518">
        <v>15680</v>
      </c>
      <c r="F68" s="516">
        <v>1.65</v>
      </c>
      <c r="G68" s="518">
        <v>15680</v>
      </c>
      <c r="H68" s="520"/>
      <c r="I68" s="520"/>
      <c r="J68" s="565"/>
      <c r="K68" s="222"/>
      <c r="L68" s="141"/>
      <c r="M68" s="293"/>
      <c r="N68" s="9"/>
      <c r="O68" s="9"/>
      <c r="P68" s="9"/>
      <c r="Q68" s="9"/>
      <c r="R68" s="9"/>
      <c r="S68" s="280"/>
      <c r="T68" s="280"/>
      <c r="U68" s="280"/>
      <c r="V68" s="280"/>
      <c r="W68" s="280"/>
      <c r="X68" s="280"/>
      <c r="Y68" s="280"/>
      <c r="Z68" s="575" t="s">
        <v>145</v>
      </c>
      <c r="AA68" s="575" t="s">
        <v>649</v>
      </c>
      <c r="AB68" s="422" t="s">
        <v>532</v>
      </c>
      <c r="AC68" s="163">
        <v>1.65</v>
      </c>
      <c r="AD68" s="283" t="s">
        <v>5</v>
      </c>
      <c r="AE68" s="581">
        <f t="shared" ref="AE68" si="45">AC68*18584.1</f>
        <v>30663.764999999996</v>
      </c>
      <c r="AF68" s="280"/>
      <c r="AG68" s="280"/>
      <c r="AH68" s="280"/>
      <c r="AI68" s="280"/>
      <c r="AJ68" s="280"/>
      <c r="AK68" s="280"/>
      <c r="AL68" s="139"/>
      <c r="AM68" s="139"/>
      <c r="AN68" s="139"/>
      <c r="AO68" s="139"/>
      <c r="AP68" s="139"/>
      <c r="AQ68" s="139"/>
      <c r="AR68" s="280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ht="15" customHeight="1" x14ac:dyDescent="0.25">
      <c r="A69" s="401"/>
      <c r="B69" s="544" t="s">
        <v>484</v>
      </c>
      <c r="C69" s="546" t="s">
        <v>485</v>
      </c>
      <c r="D69" s="517">
        <v>2.2400000000000002</v>
      </c>
      <c r="E69" s="519">
        <v>15680</v>
      </c>
      <c r="F69" s="517">
        <v>2.2400000000000002</v>
      </c>
      <c r="G69" s="519">
        <v>15680</v>
      </c>
      <c r="H69" s="521"/>
      <c r="I69" s="521"/>
      <c r="J69" s="566"/>
      <c r="K69" s="222"/>
      <c r="L69" s="141"/>
      <c r="M69" s="293"/>
      <c r="N69" s="9"/>
      <c r="O69" s="9"/>
      <c r="P69" s="9"/>
      <c r="Q69" s="9"/>
      <c r="R69" s="9"/>
      <c r="S69" s="280"/>
      <c r="T69" s="280"/>
      <c r="U69" s="280"/>
      <c r="V69" s="280"/>
      <c r="W69" s="280"/>
      <c r="X69" s="280"/>
      <c r="Y69" s="280"/>
      <c r="Z69" s="576"/>
      <c r="AA69" s="576"/>
      <c r="AB69" s="423"/>
      <c r="AC69" s="163">
        <v>15680</v>
      </c>
      <c r="AD69" s="283" t="s">
        <v>6</v>
      </c>
      <c r="AE69" s="582"/>
      <c r="AF69" s="280"/>
      <c r="AG69" s="280"/>
      <c r="AH69" s="280"/>
      <c r="AI69" s="280"/>
      <c r="AJ69" s="280"/>
      <c r="AK69" s="280"/>
      <c r="AL69" s="139"/>
      <c r="AM69" s="139"/>
      <c r="AN69" s="139"/>
      <c r="AO69" s="139"/>
      <c r="AP69" s="139"/>
      <c r="AQ69" s="139"/>
      <c r="AR69" s="280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1:65" s="209" customFormat="1" ht="15" customHeight="1" x14ac:dyDescent="0.25">
      <c r="A70" s="400">
        <v>32</v>
      </c>
      <c r="B70" s="432">
        <v>2448964</v>
      </c>
      <c r="C70" s="545" t="s">
        <v>467</v>
      </c>
      <c r="D70" s="533">
        <v>1.35</v>
      </c>
      <c r="E70" s="535">
        <v>9450</v>
      </c>
      <c r="F70" s="533">
        <v>1.35</v>
      </c>
      <c r="G70" s="535">
        <v>9450</v>
      </c>
      <c r="H70" s="537"/>
      <c r="I70" s="537"/>
      <c r="J70" s="573"/>
      <c r="K70" s="202"/>
      <c r="L70" s="197"/>
      <c r="M70" s="294"/>
      <c r="N70" s="9"/>
      <c r="O70" s="9"/>
      <c r="P70" s="9"/>
      <c r="Q70" s="9"/>
      <c r="R70" s="9"/>
      <c r="S70" s="280"/>
      <c r="T70" s="139"/>
      <c r="U70" s="139"/>
      <c r="V70" s="139"/>
      <c r="W70" s="139"/>
      <c r="X70" s="139"/>
      <c r="Y70" s="139"/>
      <c r="Z70" s="583" t="s">
        <v>145</v>
      </c>
      <c r="AA70" s="583" t="s">
        <v>631</v>
      </c>
      <c r="AB70" s="422" t="s">
        <v>532</v>
      </c>
      <c r="AC70" s="162">
        <v>1.35</v>
      </c>
      <c r="AD70" s="139" t="s">
        <v>5</v>
      </c>
      <c r="AE70" s="581">
        <f t="shared" ref="AE70" si="46">AC70*18584.1</f>
        <v>25088.535</v>
      </c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204"/>
    </row>
    <row r="71" spans="1:65" s="209" customFormat="1" ht="15" customHeight="1" x14ac:dyDescent="0.25">
      <c r="A71" s="401"/>
      <c r="B71" s="433" t="s">
        <v>466</v>
      </c>
      <c r="C71" s="546" t="s">
        <v>467</v>
      </c>
      <c r="D71" s="534">
        <v>1.35</v>
      </c>
      <c r="E71" s="536">
        <v>9450</v>
      </c>
      <c r="F71" s="534">
        <v>1.35</v>
      </c>
      <c r="G71" s="536">
        <v>9450</v>
      </c>
      <c r="H71" s="538"/>
      <c r="I71" s="538"/>
      <c r="J71" s="574"/>
      <c r="K71" s="202"/>
      <c r="L71" s="197"/>
      <c r="M71" s="294"/>
      <c r="N71" s="9"/>
      <c r="O71" s="9"/>
      <c r="P71" s="9"/>
      <c r="Q71" s="9"/>
      <c r="R71" s="9"/>
      <c r="S71" s="280"/>
      <c r="T71" s="139"/>
      <c r="U71" s="139"/>
      <c r="V71" s="139"/>
      <c r="W71" s="139"/>
      <c r="X71" s="139"/>
      <c r="Y71" s="139"/>
      <c r="Z71" s="584"/>
      <c r="AA71" s="584"/>
      <c r="AB71" s="423"/>
      <c r="AC71" s="162">
        <v>9450</v>
      </c>
      <c r="AD71" s="139" t="s">
        <v>8</v>
      </c>
      <c r="AE71" s="582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204"/>
    </row>
    <row r="72" spans="1:65" s="209" customFormat="1" ht="15" customHeight="1" x14ac:dyDescent="0.25">
      <c r="A72" s="400">
        <v>33</v>
      </c>
      <c r="B72" s="432">
        <v>2447433</v>
      </c>
      <c r="C72" s="545" t="s">
        <v>381</v>
      </c>
      <c r="D72" s="533">
        <v>3.62</v>
      </c>
      <c r="E72" s="535">
        <v>25340</v>
      </c>
      <c r="F72" s="533">
        <v>3.62</v>
      </c>
      <c r="G72" s="535">
        <v>25340</v>
      </c>
      <c r="H72" s="537"/>
      <c r="I72" s="537"/>
      <c r="J72" s="573"/>
      <c r="K72" s="202"/>
      <c r="L72" s="197"/>
      <c r="M72" s="294"/>
      <c r="N72" s="9"/>
      <c r="O72" s="9"/>
      <c r="P72" s="9"/>
      <c r="Q72" s="9"/>
      <c r="R72" s="9"/>
      <c r="S72" s="280"/>
      <c r="T72" s="139"/>
      <c r="U72" s="139"/>
      <c r="V72" s="139"/>
      <c r="W72" s="139"/>
      <c r="X72" s="139"/>
      <c r="Y72" s="139"/>
      <c r="Z72" s="583" t="s">
        <v>145</v>
      </c>
      <c r="AA72" s="583" t="s">
        <v>632</v>
      </c>
      <c r="AB72" s="422" t="s">
        <v>532</v>
      </c>
      <c r="AC72" s="162">
        <v>3.62</v>
      </c>
      <c r="AD72" s="139" t="s">
        <v>5</v>
      </c>
      <c r="AE72" s="581">
        <f t="shared" ref="AE72" si="47">AC72*18584.1</f>
        <v>67274.441999999995</v>
      </c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204"/>
    </row>
    <row r="73" spans="1:65" s="209" customFormat="1" ht="15" customHeight="1" x14ac:dyDescent="0.25">
      <c r="A73" s="401"/>
      <c r="B73" s="433" t="s">
        <v>380</v>
      </c>
      <c r="C73" s="546" t="s">
        <v>381</v>
      </c>
      <c r="D73" s="534">
        <v>3.62</v>
      </c>
      <c r="E73" s="536">
        <v>25340</v>
      </c>
      <c r="F73" s="534">
        <v>3.62</v>
      </c>
      <c r="G73" s="536">
        <v>25340</v>
      </c>
      <c r="H73" s="538"/>
      <c r="I73" s="538"/>
      <c r="J73" s="574"/>
      <c r="K73" s="202"/>
      <c r="L73" s="197"/>
      <c r="M73" s="294"/>
      <c r="N73" s="9"/>
      <c r="O73" s="9"/>
      <c r="P73" s="9"/>
      <c r="Q73" s="9"/>
      <c r="R73" s="9"/>
      <c r="S73" s="280"/>
      <c r="T73" s="139"/>
      <c r="U73" s="139"/>
      <c r="V73" s="139"/>
      <c r="W73" s="139"/>
      <c r="X73" s="139"/>
      <c r="Y73" s="139"/>
      <c r="Z73" s="584"/>
      <c r="AA73" s="584"/>
      <c r="AB73" s="423"/>
      <c r="AC73" s="162">
        <v>25340</v>
      </c>
      <c r="AD73" s="139" t="s">
        <v>8</v>
      </c>
      <c r="AE73" s="582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204"/>
    </row>
    <row r="74" spans="1:65" ht="15" customHeight="1" x14ac:dyDescent="0.25">
      <c r="A74" s="400">
        <v>34</v>
      </c>
      <c r="B74" s="459">
        <v>2448113</v>
      </c>
      <c r="C74" s="529" t="s">
        <v>450</v>
      </c>
      <c r="D74" s="516">
        <v>1.43</v>
      </c>
      <c r="E74" s="518">
        <v>10010</v>
      </c>
      <c r="F74" s="516">
        <v>1.43</v>
      </c>
      <c r="G74" s="518">
        <v>10010</v>
      </c>
      <c r="H74" s="520"/>
      <c r="I74" s="520"/>
      <c r="J74" s="565"/>
      <c r="K74" s="222"/>
      <c r="L74" s="141"/>
      <c r="M74" s="293"/>
      <c r="N74" s="9"/>
      <c r="O74" s="9"/>
      <c r="P74" s="9"/>
      <c r="Q74" s="9"/>
      <c r="R74" s="9"/>
      <c r="S74" s="280"/>
      <c r="T74" s="139"/>
      <c r="U74" s="139"/>
      <c r="V74" s="139"/>
      <c r="W74" s="139"/>
      <c r="X74" s="139"/>
      <c r="Y74" s="139"/>
      <c r="Z74" s="575" t="s">
        <v>145</v>
      </c>
      <c r="AA74" s="575" t="s">
        <v>635</v>
      </c>
      <c r="AB74" s="422" t="s">
        <v>532</v>
      </c>
      <c r="AC74" s="163">
        <v>1.43</v>
      </c>
      <c r="AD74" s="283" t="s">
        <v>5</v>
      </c>
      <c r="AE74" s="581">
        <f t="shared" ref="AE74" si="48">AC74*18584.1</f>
        <v>26575.262999999995</v>
      </c>
      <c r="AF74" s="280"/>
      <c r="AG74" s="280"/>
      <c r="AH74" s="280"/>
      <c r="AI74" s="280"/>
      <c r="AJ74" s="280"/>
      <c r="AK74" s="280"/>
      <c r="AL74" s="280"/>
      <c r="AM74" s="280"/>
      <c r="AN74" s="280"/>
      <c r="AO74" s="280"/>
      <c r="AP74" s="280"/>
      <c r="AQ74" s="280"/>
      <c r="AR74" s="280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1:65" ht="15" customHeight="1" x14ac:dyDescent="0.25">
      <c r="A75" s="401"/>
      <c r="B75" s="460"/>
      <c r="C75" s="530"/>
      <c r="D75" s="517"/>
      <c r="E75" s="519"/>
      <c r="F75" s="517"/>
      <c r="G75" s="519"/>
      <c r="H75" s="521"/>
      <c r="I75" s="521"/>
      <c r="J75" s="566"/>
      <c r="K75" s="222"/>
      <c r="L75" s="141"/>
      <c r="M75" s="293"/>
      <c r="N75" s="9"/>
      <c r="O75" s="9"/>
      <c r="P75" s="9"/>
      <c r="Q75" s="9"/>
      <c r="R75" s="9"/>
      <c r="S75" s="280"/>
      <c r="T75" s="139"/>
      <c r="U75" s="139"/>
      <c r="V75" s="139"/>
      <c r="W75" s="139"/>
      <c r="X75" s="139"/>
      <c r="Y75" s="139"/>
      <c r="Z75" s="576"/>
      <c r="AA75" s="576"/>
      <c r="AB75" s="423"/>
      <c r="AC75" s="163">
        <v>10010</v>
      </c>
      <c r="AD75" s="283" t="s">
        <v>6</v>
      </c>
      <c r="AE75" s="582"/>
      <c r="AF75" s="280"/>
      <c r="AG75" s="280"/>
      <c r="AH75" s="280"/>
      <c r="AI75" s="280"/>
      <c r="AJ75" s="280"/>
      <c r="AK75" s="280"/>
      <c r="AL75" s="280"/>
      <c r="AM75" s="280"/>
      <c r="AN75" s="280"/>
      <c r="AO75" s="280"/>
      <c r="AP75" s="280"/>
      <c r="AQ75" s="280"/>
      <c r="AR75" s="280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ht="15" customHeight="1" x14ac:dyDescent="0.25">
      <c r="A76" s="400">
        <v>35</v>
      </c>
      <c r="B76" s="459">
        <v>2448113</v>
      </c>
      <c r="C76" s="529" t="s">
        <v>444</v>
      </c>
      <c r="D76" s="516">
        <v>0.72</v>
      </c>
      <c r="E76" s="518">
        <v>10010</v>
      </c>
      <c r="F76" s="516">
        <f>D76</f>
        <v>0.72</v>
      </c>
      <c r="G76" s="518">
        <v>10010</v>
      </c>
      <c r="H76" s="520"/>
      <c r="I76" s="520"/>
      <c r="J76" s="565"/>
      <c r="K76" s="222"/>
      <c r="L76" s="141"/>
      <c r="M76" s="293"/>
      <c r="N76" s="9"/>
      <c r="O76" s="9"/>
      <c r="P76" s="9"/>
      <c r="Q76" s="9"/>
      <c r="R76" s="9"/>
      <c r="S76" s="280"/>
      <c r="T76" s="139"/>
      <c r="U76" s="139"/>
      <c r="V76" s="139"/>
      <c r="W76" s="139"/>
      <c r="X76" s="139"/>
      <c r="Y76" s="139"/>
      <c r="Z76" s="575" t="s">
        <v>145</v>
      </c>
      <c r="AA76" s="575"/>
      <c r="AB76" s="422" t="s">
        <v>532</v>
      </c>
      <c r="AC76" s="163">
        <v>0.72</v>
      </c>
      <c r="AD76" s="283" t="s">
        <v>5</v>
      </c>
      <c r="AE76" s="581">
        <f t="shared" ref="AE76" si="49">AC76*18584.1</f>
        <v>13380.551999999998</v>
      </c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80"/>
      <c r="AR76" s="280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ht="15" customHeight="1" x14ac:dyDescent="0.25">
      <c r="A77" s="401"/>
      <c r="B77" s="460"/>
      <c r="C77" s="530"/>
      <c r="D77" s="517"/>
      <c r="E77" s="519"/>
      <c r="F77" s="517"/>
      <c r="G77" s="519"/>
      <c r="H77" s="521"/>
      <c r="I77" s="521"/>
      <c r="J77" s="566"/>
      <c r="K77" s="222"/>
      <c r="L77" s="141"/>
      <c r="M77" s="293"/>
      <c r="N77" s="9"/>
      <c r="O77" s="9"/>
      <c r="P77" s="9"/>
      <c r="Q77" s="9"/>
      <c r="R77" s="9"/>
      <c r="S77" s="280"/>
      <c r="T77" s="139"/>
      <c r="U77" s="139"/>
      <c r="V77" s="139"/>
      <c r="W77" s="139"/>
      <c r="X77" s="139"/>
      <c r="Y77" s="139"/>
      <c r="Z77" s="576"/>
      <c r="AA77" s="576"/>
      <c r="AB77" s="423"/>
      <c r="AC77" s="163">
        <v>10010</v>
      </c>
      <c r="AD77" s="283" t="s">
        <v>6</v>
      </c>
      <c r="AE77" s="582"/>
      <c r="AF77" s="280"/>
      <c r="AG77" s="280"/>
      <c r="AH77" s="280"/>
      <c r="AI77" s="280"/>
      <c r="AJ77" s="280"/>
      <c r="AK77" s="280"/>
      <c r="AL77" s="280"/>
      <c r="AM77" s="280"/>
      <c r="AN77" s="280"/>
      <c r="AO77" s="280"/>
      <c r="AP77" s="280"/>
      <c r="AQ77" s="280"/>
      <c r="AR77" s="280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ht="15" customHeight="1" x14ac:dyDescent="0.25">
      <c r="A78" s="400">
        <v>36</v>
      </c>
      <c r="B78" s="459">
        <v>2448113</v>
      </c>
      <c r="C78" s="529" t="s">
        <v>395</v>
      </c>
      <c r="D78" s="516">
        <v>2.0499999999999998</v>
      </c>
      <c r="E78" s="518">
        <v>10010</v>
      </c>
      <c r="F78" s="516">
        <f>D78</f>
        <v>2.0499999999999998</v>
      </c>
      <c r="G78" s="518">
        <v>10010</v>
      </c>
      <c r="H78" s="520"/>
      <c r="I78" s="520"/>
      <c r="J78" s="565"/>
      <c r="K78" s="222"/>
      <c r="L78" s="141"/>
      <c r="M78" s="293"/>
      <c r="N78" s="9"/>
      <c r="O78" s="9"/>
      <c r="P78" s="9"/>
      <c r="Q78" s="9"/>
      <c r="R78" s="9"/>
      <c r="S78" s="280"/>
      <c r="T78" s="139"/>
      <c r="U78" s="139"/>
      <c r="V78" s="139"/>
      <c r="W78" s="139"/>
      <c r="X78" s="139"/>
      <c r="Y78" s="139"/>
      <c r="Z78" s="575" t="s">
        <v>145</v>
      </c>
      <c r="AA78" s="575"/>
      <c r="AB78" s="422" t="s">
        <v>532</v>
      </c>
      <c r="AC78" s="163">
        <v>0.36</v>
      </c>
      <c r="AD78" s="283" t="s">
        <v>5</v>
      </c>
      <c r="AE78" s="581">
        <f t="shared" ref="AE78" si="50">AC78*18584.1</f>
        <v>6690.2759999999989</v>
      </c>
      <c r="AF78" s="280"/>
      <c r="AG78" s="280"/>
      <c r="AH78" s="280"/>
      <c r="AI78" s="280"/>
      <c r="AJ78" s="280"/>
      <c r="AK78" s="280"/>
      <c r="AL78" s="280"/>
      <c r="AM78" s="280"/>
      <c r="AN78" s="280"/>
      <c r="AO78" s="280"/>
      <c r="AP78" s="280"/>
      <c r="AQ78" s="280"/>
      <c r="AR78" s="280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ht="15" customHeight="1" x14ac:dyDescent="0.25">
      <c r="A79" s="401"/>
      <c r="B79" s="460"/>
      <c r="C79" s="530"/>
      <c r="D79" s="517"/>
      <c r="E79" s="519"/>
      <c r="F79" s="517"/>
      <c r="G79" s="519"/>
      <c r="H79" s="521"/>
      <c r="I79" s="521"/>
      <c r="J79" s="566"/>
      <c r="K79" s="222"/>
      <c r="L79" s="141"/>
      <c r="M79" s="293"/>
      <c r="N79" s="9"/>
      <c r="O79" s="9"/>
      <c r="P79" s="9"/>
      <c r="Q79" s="9"/>
      <c r="R79" s="9"/>
      <c r="S79" s="280"/>
      <c r="T79" s="139"/>
      <c r="U79" s="139"/>
      <c r="V79" s="139"/>
      <c r="W79" s="139"/>
      <c r="X79" s="139"/>
      <c r="Y79" s="139"/>
      <c r="Z79" s="576"/>
      <c r="AA79" s="576"/>
      <c r="AB79" s="423"/>
      <c r="AC79" s="163">
        <v>10010</v>
      </c>
      <c r="AD79" s="283" t="s">
        <v>6</v>
      </c>
      <c r="AE79" s="582"/>
      <c r="AF79" s="280"/>
      <c r="AG79" s="280"/>
      <c r="AH79" s="280"/>
      <c r="AI79" s="280"/>
      <c r="AJ79" s="280"/>
      <c r="AK79" s="280"/>
      <c r="AL79" s="280"/>
      <c r="AM79" s="280"/>
      <c r="AN79" s="280"/>
      <c r="AO79" s="280"/>
      <c r="AP79" s="280"/>
      <c r="AQ79" s="280"/>
      <c r="AR79" s="280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ht="15" customHeight="1" x14ac:dyDescent="0.25">
      <c r="A80" s="400">
        <v>37</v>
      </c>
      <c r="B80" s="459">
        <v>2447000</v>
      </c>
      <c r="C80" s="549" t="s">
        <v>356</v>
      </c>
      <c r="D80" s="516">
        <v>0.76</v>
      </c>
      <c r="E80" s="518">
        <v>5320</v>
      </c>
      <c r="F80" s="516">
        <v>0.76</v>
      </c>
      <c r="G80" s="518">
        <v>5320</v>
      </c>
      <c r="H80" s="520"/>
      <c r="I80" s="520"/>
      <c r="J80" s="565"/>
      <c r="K80" s="222"/>
      <c r="L80" s="141"/>
      <c r="M80" s="293"/>
      <c r="N80" s="9"/>
      <c r="O80" s="9"/>
      <c r="P80" s="9"/>
      <c r="Q80" s="9"/>
      <c r="R80" s="9"/>
      <c r="S80" s="280"/>
      <c r="T80" s="490"/>
      <c r="U80" s="490"/>
      <c r="V80" s="490"/>
      <c r="W80" s="283"/>
      <c r="X80" s="283"/>
      <c r="Y80" s="490"/>
      <c r="Z80" s="575" t="s">
        <v>145</v>
      </c>
      <c r="AA80" s="575" t="s">
        <v>615</v>
      </c>
      <c r="AB80" s="575" t="s">
        <v>532</v>
      </c>
      <c r="AC80" s="163">
        <v>0.76</v>
      </c>
      <c r="AD80" s="283" t="s">
        <v>5</v>
      </c>
      <c r="AE80" s="581">
        <f t="shared" ref="AE80" si="51">AC80*18584.1</f>
        <v>14123.915999999999</v>
      </c>
      <c r="AF80" s="34"/>
      <c r="AG80" s="34"/>
      <c r="AH80" s="34"/>
      <c r="AI80" s="34"/>
      <c r="AJ80" s="34"/>
      <c r="AK80" s="34"/>
      <c r="AL80" s="280"/>
      <c r="AM80" s="280"/>
      <c r="AN80" s="280"/>
      <c r="AO80" s="280"/>
      <c r="AP80" s="280"/>
      <c r="AQ80" s="280"/>
      <c r="AR80" s="280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ht="15" customHeight="1" x14ac:dyDescent="0.25">
      <c r="A81" s="401"/>
      <c r="B81" s="460" t="s">
        <v>355</v>
      </c>
      <c r="C81" s="550" t="s">
        <v>356</v>
      </c>
      <c r="D81" s="517">
        <v>0.76</v>
      </c>
      <c r="E81" s="519">
        <v>5320</v>
      </c>
      <c r="F81" s="517">
        <v>0.76</v>
      </c>
      <c r="G81" s="519">
        <v>5320</v>
      </c>
      <c r="H81" s="521"/>
      <c r="I81" s="521"/>
      <c r="J81" s="566"/>
      <c r="K81" s="222"/>
      <c r="L81" s="141"/>
      <c r="M81" s="293"/>
      <c r="N81" s="9"/>
      <c r="O81" s="9"/>
      <c r="P81" s="9"/>
      <c r="Q81" s="9"/>
      <c r="R81" s="9"/>
      <c r="S81" s="280"/>
      <c r="T81" s="491"/>
      <c r="U81" s="491"/>
      <c r="V81" s="491"/>
      <c r="W81" s="283"/>
      <c r="X81" s="283"/>
      <c r="Y81" s="491"/>
      <c r="Z81" s="576"/>
      <c r="AA81" s="576"/>
      <c r="AB81" s="576"/>
      <c r="AC81" s="163">
        <v>5320</v>
      </c>
      <c r="AD81" s="283" t="s">
        <v>8</v>
      </c>
      <c r="AE81" s="582"/>
      <c r="AF81" s="34"/>
      <c r="AG81" s="34"/>
      <c r="AH81" s="34"/>
      <c r="AI81" s="34"/>
      <c r="AJ81" s="34"/>
      <c r="AK81" s="34"/>
      <c r="AL81" s="280"/>
      <c r="AM81" s="280"/>
      <c r="AN81" s="280"/>
      <c r="AO81" s="280"/>
      <c r="AP81" s="280"/>
      <c r="AQ81" s="280"/>
      <c r="AR81" s="280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s="209" customFormat="1" ht="15" customHeight="1" x14ac:dyDescent="0.25">
      <c r="A82" s="400">
        <v>17</v>
      </c>
      <c r="B82" s="432">
        <v>2446912</v>
      </c>
      <c r="C82" s="555" t="s">
        <v>448</v>
      </c>
      <c r="D82" s="516">
        <v>1.38</v>
      </c>
      <c r="E82" s="535">
        <f t="shared" ref="E82" si="52">D82*7000</f>
        <v>9660</v>
      </c>
      <c r="F82" s="533">
        <v>1.38</v>
      </c>
      <c r="G82" s="535">
        <f t="shared" ref="G82" si="53">F82*7000</f>
        <v>9660</v>
      </c>
      <c r="H82" s="537"/>
      <c r="I82" s="537"/>
      <c r="J82" s="573"/>
      <c r="K82" s="202"/>
      <c r="L82" s="197"/>
      <c r="M82" s="463"/>
      <c r="T82" s="520"/>
      <c r="U82" s="520"/>
      <c r="V82" s="539"/>
      <c r="W82" s="202"/>
      <c r="X82" s="197"/>
      <c r="Y82" s="571"/>
      <c r="Z82" s="155"/>
      <c r="AA82" s="139"/>
      <c r="AB82" s="139"/>
      <c r="AC82" s="139"/>
      <c r="AD82" s="139"/>
      <c r="AE82" s="139"/>
      <c r="AF82" s="520" t="s">
        <v>145</v>
      </c>
      <c r="AG82" s="520" t="s">
        <v>677</v>
      </c>
      <c r="AH82" s="539" t="s">
        <v>532</v>
      </c>
      <c r="AI82" s="222">
        <v>1.38</v>
      </c>
      <c r="AJ82" s="141" t="s">
        <v>5</v>
      </c>
      <c r="AK82" s="524">
        <f>AI82*17456.36+87.27</f>
        <v>24177.0468</v>
      </c>
      <c r="AL82" s="139"/>
      <c r="AM82" s="139"/>
      <c r="AN82" s="139"/>
      <c r="AO82" s="139"/>
      <c r="AP82" s="139"/>
      <c r="AQ82" s="139"/>
      <c r="AR82" s="204"/>
    </row>
    <row r="83" spans="1:65" s="209" customFormat="1" ht="15" customHeight="1" x14ac:dyDescent="0.25">
      <c r="A83" s="401"/>
      <c r="B83" s="433"/>
      <c r="C83" s="556"/>
      <c r="D83" s="517"/>
      <c r="E83" s="536"/>
      <c r="F83" s="534"/>
      <c r="G83" s="536"/>
      <c r="H83" s="538"/>
      <c r="I83" s="538"/>
      <c r="J83" s="574"/>
      <c r="K83" s="202"/>
      <c r="L83" s="197"/>
      <c r="M83" s="464"/>
      <c r="T83" s="521"/>
      <c r="U83" s="521"/>
      <c r="V83" s="540"/>
      <c r="W83" s="202"/>
      <c r="X83" s="197"/>
      <c r="Y83" s="572"/>
      <c r="Z83" s="139"/>
      <c r="AA83" s="139"/>
      <c r="AB83" s="139"/>
      <c r="AC83" s="139"/>
      <c r="AD83" s="139"/>
      <c r="AE83" s="139"/>
      <c r="AF83" s="521"/>
      <c r="AG83" s="521"/>
      <c r="AH83" s="540" t="s">
        <v>626</v>
      </c>
      <c r="AI83" s="222">
        <f>AI82*7000</f>
        <v>9660</v>
      </c>
      <c r="AJ83" s="141" t="s">
        <v>8</v>
      </c>
      <c r="AK83" s="525"/>
      <c r="AL83" s="139"/>
      <c r="AM83" s="139"/>
      <c r="AN83" s="139"/>
      <c r="AO83" s="139"/>
      <c r="AP83" s="139"/>
      <c r="AQ83" s="139"/>
      <c r="AR83" s="204"/>
    </row>
    <row r="84" spans="1:65" s="209" customFormat="1" ht="15" customHeight="1" x14ac:dyDescent="0.25">
      <c r="A84" s="400">
        <v>38</v>
      </c>
      <c r="B84" s="432">
        <v>2446918</v>
      </c>
      <c r="C84" s="545" t="s">
        <v>440</v>
      </c>
      <c r="D84" s="533">
        <v>1.1399999999999999</v>
      </c>
      <c r="E84" s="535">
        <v>5110</v>
      </c>
      <c r="F84" s="533">
        <f>D84</f>
        <v>1.1399999999999999</v>
      </c>
      <c r="G84" s="535">
        <v>5110</v>
      </c>
      <c r="H84" s="537"/>
      <c r="I84" s="537"/>
      <c r="J84" s="573"/>
      <c r="K84" s="202"/>
      <c r="L84" s="197"/>
      <c r="M84" s="294"/>
      <c r="N84" s="197"/>
      <c r="O84" s="197"/>
      <c r="P84" s="197"/>
      <c r="Q84" s="197"/>
      <c r="R84" s="197"/>
      <c r="S84" s="139"/>
      <c r="T84" s="139"/>
      <c r="U84" s="139"/>
      <c r="V84" s="139"/>
      <c r="W84" s="139"/>
      <c r="X84" s="139"/>
      <c r="Y84" s="139"/>
      <c r="Z84" s="422"/>
      <c r="AA84" s="422"/>
      <c r="AB84" s="422"/>
      <c r="AC84" s="139"/>
      <c r="AD84" s="139"/>
      <c r="AE84" s="422"/>
      <c r="AF84" s="583" t="s">
        <v>145</v>
      </c>
      <c r="AG84" s="583" t="s">
        <v>646</v>
      </c>
      <c r="AH84" s="422" t="s">
        <v>532</v>
      </c>
      <c r="AI84" s="162">
        <v>1.1399999999999999</v>
      </c>
      <c r="AJ84" s="139" t="s">
        <v>5</v>
      </c>
      <c r="AK84" s="524">
        <f t="shared" ref="AK84" si="54">AI84*17456.36</f>
        <v>19900.250399999997</v>
      </c>
      <c r="AL84" s="139"/>
      <c r="AM84" s="139"/>
      <c r="AN84" s="139"/>
      <c r="AO84" s="139"/>
      <c r="AP84" s="139"/>
      <c r="AQ84" s="139"/>
      <c r="AR84" s="204"/>
    </row>
    <row r="85" spans="1:65" s="209" customFormat="1" ht="15" customHeight="1" x14ac:dyDescent="0.25">
      <c r="A85" s="401"/>
      <c r="B85" s="433" t="s">
        <v>436</v>
      </c>
      <c r="C85" s="546" t="s">
        <v>437</v>
      </c>
      <c r="D85" s="534">
        <v>0.73</v>
      </c>
      <c r="E85" s="536">
        <v>5110</v>
      </c>
      <c r="F85" s="534">
        <v>0.73</v>
      </c>
      <c r="G85" s="536">
        <v>5110</v>
      </c>
      <c r="H85" s="538"/>
      <c r="I85" s="538"/>
      <c r="J85" s="574"/>
      <c r="K85" s="202"/>
      <c r="L85" s="197"/>
      <c r="M85" s="294"/>
      <c r="N85" s="197"/>
      <c r="O85" s="197"/>
      <c r="P85" s="197"/>
      <c r="Q85" s="197"/>
      <c r="R85" s="197"/>
      <c r="S85" s="139"/>
      <c r="T85" s="139"/>
      <c r="U85" s="139"/>
      <c r="V85" s="139"/>
      <c r="W85" s="139"/>
      <c r="X85" s="139"/>
      <c r="Y85" s="139"/>
      <c r="Z85" s="423"/>
      <c r="AA85" s="423"/>
      <c r="AB85" s="423"/>
      <c r="AC85" s="139"/>
      <c r="AD85" s="139"/>
      <c r="AE85" s="423"/>
      <c r="AF85" s="584"/>
      <c r="AG85" s="584"/>
      <c r="AH85" s="423"/>
      <c r="AI85" s="162">
        <v>5110</v>
      </c>
      <c r="AJ85" s="139" t="s">
        <v>637</v>
      </c>
      <c r="AK85" s="525"/>
      <c r="AL85" s="139"/>
      <c r="AM85" s="139"/>
      <c r="AN85" s="139"/>
      <c r="AO85" s="139"/>
      <c r="AP85" s="139"/>
      <c r="AQ85" s="139"/>
      <c r="AR85" s="204"/>
    </row>
    <row r="86" spans="1:65" ht="15" customHeight="1" x14ac:dyDescent="0.25">
      <c r="A86" s="400">
        <v>39</v>
      </c>
      <c r="B86" s="543">
        <v>2448843</v>
      </c>
      <c r="C86" s="545" t="s">
        <v>367</v>
      </c>
      <c r="D86" s="516">
        <v>1.45</v>
      </c>
      <c r="E86" s="518">
        <v>10150</v>
      </c>
      <c r="F86" s="516">
        <v>1.45</v>
      </c>
      <c r="G86" s="518">
        <v>10150</v>
      </c>
      <c r="H86" s="520"/>
      <c r="I86" s="520"/>
      <c r="J86" s="565"/>
      <c r="K86" s="222"/>
      <c r="L86" s="141"/>
      <c r="M86" s="293"/>
      <c r="N86" s="9"/>
      <c r="O86" s="9"/>
      <c r="P86" s="9"/>
      <c r="Q86" s="9"/>
      <c r="R86" s="9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520" t="s">
        <v>145</v>
      </c>
      <c r="AG86" s="520" t="s">
        <v>533</v>
      </c>
      <c r="AH86" s="522" t="s">
        <v>42</v>
      </c>
      <c r="AI86" s="222">
        <v>1.45</v>
      </c>
      <c r="AJ86" s="141" t="s">
        <v>5</v>
      </c>
      <c r="AK86" s="524">
        <f t="shared" ref="AK86" si="55">AI86*17456.36</f>
        <v>25311.722000000002</v>
      </c>
      <c r="AL86" s="280"/>
      <c r="AM86" s="280"/>
      <c r="AN86" s="280"/>
      <c r="AO86" s="280"/>
      <c r="AP86" s="280"/>
      <c r="AQ86" s="280"/>
      <c r="AR86" s="280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1:65" ht="15" customHeight="1" x14ac:dyDescent="0.25">
      <c r="A87" s="401"/>
      <c r="B87" s="544"/>
      <c r="C87" s="546"/>
      <c r="D87" s="517"/>
      <c r="E87" s="519"/>
      <c r="F87" s="517"/>
      <c r="G87" s="519"/>
      <c r="H87" s="521"/>
      <c r="I87" s="521"/>
      <c r="J87" s="566"/>
      <c r="K87" s="222"/>
      <c r="L87" s="141"/>
      <c r="M87" s="293"/>
      <c r="N87" s="9"/>
      <c r="O87" s="9"/>
      <c r="P87" s="9"/>
      <c r="Q87" s="9"/>
      <c r="R87" s="9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521"/>
      <c r="AG87" s="521"/>
      <c r="AH87" s="523"/>
      <c r="AI87" s="222">
        <v>87870.97</v>
      </c>
      <c r="AJ87" s="141" t="s">
        <v>637</v>
      </c>
      <c r="AK87" s="525"/>
      <c r="AL87" s="280"/>
      <c r="AM87" s="280"/>
      <c r="AN87" s="280"/>
      <c r="AO87" s="280"/>
      <c r="AP87" s="280"/>
      <c r="AQ87" s="280"/>
      <c r="AR87" s="280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1:65" ht="15" customHeight="1" x14ac:dyDescent="0.25">
      <c r="A88" s="400">
        <v>40</v>
      </c>
      <c r="B88" s="543">
        <v>2448418</v>
      </c>
      <c r="C88" s="545" t="s">
        <v>481</v>
      </c>
      <c r="D88" s="516">
        <v>3.3</v>
      </c>
      <c r="E88" s="518">
        <v>23100</v>
      </c>
      <c r="F88" s="516">
        <v>3.3</v>
      </c>
      <c r="G88" s="518">
        <v>23100</v>
      </c>
      <c r="H88" s="520"/>
      <c r="I88" s="520"/>
      <c r="J88" s="565"/>
      <c r="K88" s="222"/>
      <c r="L88" s="141"/>
      <c r="M88" s="293"/>
      <c r="N88" s="9"/>
      <c r="O88" s="9"/>
      <c r="P88" s="9"/>
      <c r="Q88" s="9"/>
      <c r="R88" s="9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575" t="s">
        <v>145</v>
      </c>
      <c r="AG88" s="575" t="s">
        <v>641</v>
      </c>
      <c r="AH88" s="490" t="s">
        <v>532</v>
      </c>
      <c r="AI88" s="163">
        <v>3.3</v>
      </c>
      <c r="AJ88" s="283" t="s">
        <v>5</v>
      </c>
      <c r="AK88" s="524">
        <f t="shared" ref="AK88" si="56">AI88*17456.36</f>
        <v>57605.987999999998</v>
      </c>
      <c r="AL88" s="280"/>
      <c r="AM88" s="280"/>
      <c r="AN88" s="280"/>
      <c r="AO88" s="280"/>
      <c r="AP88" s="280"/>
      <c r="AQ88" s="280"/>
      <c r="AR88" s="280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</row>
    <row r="89" spans="1:65" ht="15" customHeight="1" x14ac:dyDescent="0.25">
      <c r="A89" s="401"/>
      <c r="B89" s="544" t="s">
        <v>480</v>
      </c>
      <c r="C89" s="546" t="s">
        <v>481</v>
      </c>
      <c r="D89" s="517">
        <v>3.3</v>
      </c>
      <c r="E89" s="519">
        <v>23100</v>
      </c>
      <c r="F89" s="517">
        <v>3.3</v>
      </c>
      <c r="G89" s="519">
        <v>23100</v>
      </c>
      <c r="H89" s="521"/>
      <c r="I89" s="521"/>
      <c r="J89" s="566"/>
      <c r="K89" s="222"/>
      <c r="L89" s="141"/>
      <c r="M89" s="293"/>
      <c r="N89" s="9"/>
      <c r="O89" s="9"/>
      <c r="P89" s="9"/>
      <c r="Q89" s="9"/>
      <c r="R89" s="9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576"/>
      <c r="AG89" s="576"/>
      <c r="AH89" s="491"/>
      <c r="AI89" s="163">
        <v>23100</v>
      </c>
      <c r="AJ89" s="283" t="s">
        <v>637</v>
      </c>
      <c r="AK89" s="525"/>
      <c r="AL89" s="280"/>
      <c r="AM89" s="280"/>
      <c r="AN89" s="280"/>
      <c r="AO89" s="280"/>
      <c r="AP89" s="280"/>
      <c r="AQ89" s="280"/>
      <c r="AR89" s="280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1:65" ht="15" customHeight="1" x14ac:dyDescent="0.25">
      <c r="A90" s="400">
        <v>41</v>
      </c>
      <c r="B90" s="543">
        <v>2447019</v>
      </c>
      <c r="C90" s="545" t="s">
        <v>460</v>
      </c>
      <c r="D90" s="516">
        <v>4.01</v>
      </c>
      <c r="E90" s="518">
        <v>28700</v>
      </c>
      <c r="F90" s="516">
        <v>4.0999999999999996</v>
      </c>
      <c r="G90" s="518">
        <v>28700</v>
      </c>
      <c r="H90" s="520"/>
      <c r="I90" s="520"/>
      <c r="J90" s="565"/>
      <c r="K90" s="222"/>
      <c r="L90" s="141"/>
      <c r="M90" s="293"/>
      <c r="N90" s="9"/>
      <c r="O90" s="9"/>
      <c r="P90" s="9"/>
      <c r="Q90" s="9"/>
      <c r="R90" s="9"/>
      <c r="S90" s="280"/>
      <c r="T90" s="280"/>
      <c r="U90" s="280"/>
      <c r="V90" s="280"/>
      <c r="W90" s="280"/>
      <c r="X90" s="280"/>
      <c r="Y90" s="280"/>
      <c r="Z90" s="280"/>
      <c r="AA90" s="280"/>
      <c r="AB90" s="280"/>
      <c r="AC90" s="280"/>
      <c r="AD90" s="280"/>
      <c r="AE90" s="280"/>
      <c r="AF90" s="575" t="s">
        <v>145</v>
      </c>
      <c r="AG90" s="575" t="s">
        <v>701</v>
      </c>
      <c r="AH90" s="490" t="s">
        <v>532</v>
      </c>
      <c r="AI90" s="163">
        <v>4.0999999999999996</v>
      </c>
      <c r="AJ90" s="283" t="s">
        <v>5</v>
      </c>
      <c r="AK90" s="524">
        <v>54114.716</v>
      </c>
      <c r="AL90" s="280"/>
      <c r="AM90" s="280"/>
      <c r="AN90" s="280"/>
      <c r="AO90" s="280"/>
      <c r="AP90" s="280"/>
      <c r="AQ90" s="280"/>
      <c r="AR90" s="280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1:65" ht="15" customHeight="1" x14ac:dyDescent="0.25">
      <c r="A91" s="401"/>
      <c r="B91" s="544"/>
      <c r="C91" s="546"/>
      <c r="D91" s="517"/>
      <c r="E91" s="519"/>
      <c r="F91" s="517"/>
      <c r="G91" s="519"/>
      <c r="H91" s="521"/>
      <c r="I91" s="521"/>
      <c r="J91" s="566"/>
      <c r="K91" s="222"/>
      <c r="L91" s="141"/>
      <c r="M91" s="293"/>
      <c r="N91" s="9"/>
      <c r="O91" s="9"/>
      <c r="P91" s="9"/>
      <c r="Q91" s="9"/>
      <c r="R91" s="9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  <c r="AC91" s="280"/>
      <c r="AD91" s="280"/>
      <c r="AE91" s="280"/>
      <c r="AF91" s="576"/>
      <c r="AG91" s="576"/>
      <c r="AH91" s="491"/>
      <c r="AI91" s="163">
        <v>28700</v>
      </c>
      <c r="AJ91" s="283" t="s">
        <v>6</v>
      </c>
      <c r="AK91" s="525"/>
      <c r="AL91" s="280"/>
      <c r="AM91" s="280"/>
      <c r="AN91" s="280"/>
      <c r="AO91" s="280"/>
      <c r="AP91" s="280"/>
      <c r="AQ91" s="280"/>
      <c r="AR91" s="280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1:65" ht="15" customHeight="1" x14ac:dyDescent="0.25">
      <c r="A92" s="400">
        <v>42</v>
      </c>
      <c r="B92" s="543">
        <v>2448017</v>
      </c>
      <c r="C92" s="545" t="s">
        <v>360</v>
      </c>
      <c r="D92" s="516">
        <v>0.59</v>
      </c>
      <c r="E92" s="518">
        <v>4130</v>
      </c>
      <c r="F92" s="516">
        <v>0.59</v>
      </c>
      <c r="G92" s="518">
        <v>4130</v>
      </c>
      <c r="H92" s="520"/>
      <c r="I92" s="520"/>
      <c r="J92" s="565"/>
      <c r="K92" s="222"/>
      <c r="L92" s="141"/>
      <c r="M92" s="293"/>
      <c r="N92" s="567"/>
      <c r="O92" s="567"/>
      <c r="P92" s="587"/>
      <c r="Q92" s="226"/>
      <c r="R92" s="292"/>
      <c r="S92" s="585">
        <f>Q92*19223.727</f>
        <v>0</v>
      </c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567" t="s">
        <v>145</v>
      </c>
      <c r="AG92" s="567" t="s">
        <v>636</v>
      </c>
      <c r="AH92" s="587" t="s">
        <v>41</v>
      </c>
      <c r="AI92" s="226">
        <v>0.59</v>
      </c>
      <c r="AJ92" s="292" t="s">
        <v>5</v>
      </c>
      <c r="AK92" s="524">
        <f t="shared" ref="AK92" si="57">AI92*17456.36</f>
        <v>10299.252399999999</v>
      </c>
      <c r="AL92" s="567"/>
      <c r="AM92" s="567"/>
      <c r="AN92" s="587"/>
      <c r="AO92" s="226"/>
      <c r="AP92" s="292"/>
      <c r="AQ92" s="571"/>
      <c r="AR92" s="280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1:65" ht="15" customHeight="1" x14ac:dyDescent="0.25">
      <c r="A93" s="401"/>
      <c r="B93" s="544"/>
      <c r="C93" s="546"/>
      <c r="D93" s="517"/>
      <c r="E93" s="519"/>
      <c r="F93" s="517"/>
      <c r="G93" s="519"/>
      <c r="H93" s="521"/>
      <c r="I93" s="521"/>
      <c r="J93" s="566"/>
      <c r="K93" s="222"/>
      <c r="L93" s="141"/>
      <c r="M93" s="293"/>
      <c r="N93" s="568"/>
      <c r="O93" s="568"/>
      <c r="P93" s="588"/>
      <c r="Q93" s="226"/>
      <c r="R93" s="292"/>
      <c r="S93" s="586"/>
      <c r="T93" s="280"/>
      <c r="U93" s="280"/>
      <c r="V93" s="280"/>
      <c r="W93" s="280"/>
      <c r="X93" s="280"/>
      <c r="Y93" s="280"/>
      <c r="Z93" s="280"/>
      <c r="AA93" s="280"/>
      <c r="AB93" s="280"/>
      <c r="AC93" s="280"/>
      <c r="AD93" s="280"/>
      <c r="AE93" s="280"/>
      <c r="AF93" s="568"/>
      <c r="AG93" s="568"/>
      <c r="AH93" s="588"/>
      <c r="AI93" s="226">
        <v>4130</v>
      </c>
      <c r="AJ93" s="292" t="s">
        <v>6</v>
      </c>
      <c r="AK93" s="525"/>
      <c r="AL93" s="568"/>
      <c r="AM93" s="568"/>
      <c r="AN93" s="588"/>
      <c r="AO93" s="226"/>
      <c r="AP93" s="292"/>
      <c r="AQ93" s="572"/>
      <c r="AR93" s="280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1:65" ht="15" customHeight="1" x14ac:dyDescent="0.25">
      <c r="A94" s="400">
        <v>43</v>
      </c>
      <c r="B94" s="543">
        <v>2448900</v>
      </c>
      <c r="C94" s="545" t="s">
        <v>447</v>
      </c>
      <c r="D94" s="516">
        <v>1.0649999999999999</v>
      </c>
      <c r="E94" s="518">
        <v>7987.5</v>
      </c>
      <c r="F94" s="516">
        <f>D94</f>
        <v>1.0649999999999999</v>
      </c>
      <c r="G94" s="518">
        <f>E94</f>
        <v>7987.5</v>
      </c>
      <c r="H94" s="520"/>
      <c r="I94" s="520"/>
      <c r="J94" s="565"/>
      <c r="K94" s="222"/>
      <c r="L94" s="141"/>
      <c r="M94" s="293"/>
      <c r="N94" s="567"/>
      <c r="O94" s="567"/>
      <c r="P94" s="587"/>
      <c r="Q94" s="226"/>
      <c r="R94" s="292"/>
      <c r="S94" s="585">
        <f>Q94*19223.727</f>
        <v>0</v>
      </c>
      <c r="T94" s="280"/>
      <c r="U94" s="280"/>
      <c r="V94" s="280"/>
      <c r="W94" s="280"/>
      <c r="X94" s="280"/>
      <c r="Y94" s="280"/>
      <c r="Z94" s="280"/>
      <c r="AA94" s="280"/>
      <c r="AB94" s="280"/>
      <c r="AC94" s="280"/>
      <c r="AD94" s="280"/>
      <c r="AE94" s="280"/>
      <c r="AF94" s="567" t="s">
        <v>145</v>
      </c>
      <c r="AG94" s="567" t="s">
        <v>668</v>
      </c>
      <c r="AH94" s="587" t="s">
        <v>41</v>
      </c>
      <c r="AI94" s="226">
        <v>1.0649999999999999</v>
      </c>
      <c r="AJ94" s="292" t="s">
        <v>5</v>
      </c>
      <c r="AK94" s="524">
        <f t="shared" ref="AK94" si="58">AI94*17456.36</f>
        <v>18591.023399999998</v>
      </c>
      <c r="AL94" s="567"/>
      <c r="AM94" s="567"/>
      <c r="AN94" s="587"/>
      <c r="AO94" s="226"/>
      <c r="AP94" s="292"/>
      <c r="AQ94" s="571"/>
      <c r="AR94" s="280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1:65" ht="15" customHeight="1" x14ac:dyDescent="0.25">
      <c r="A95" s="401"/>
      <c r="B95" s="544"/>
      <c r="C95" s="546"/>
      <c r="D95" s="517"/>
      <c r="E95" s="519"/>
      <c r="F95" s="517"/>
      <c r="G95" s="519"/>
      <c r="H95" s="521"/>
      <c r="I95" s="521"/>
      <c r="J95" s="566"/>
      <c r="K95" s="222"/>
      <c r="L95" s="141"/>
      <c r="M95" s="293"/>
      <c r="N95" s="568"/>
      <c r="O95" s="568"/>
      <c r="P95" s="588"/>
      <c r="Q95" s="226"/>
      <c r="R95" s="292"/>
      <c r="S95" s="586"/>
      <c r="T95" s="280"/>
      <c r="U95" s="280"/>
      <c r="V95" s="280"/>
      <c r="W95" s="280"/>
      <c r="X95" s="280"/>
      <c r="Y95" s="280"/>
      <c r="Z95" s="280"/>
      <c r="AA95" s="280"/>
      <c r="AB95" s="280"/>
      <c r="AC95" s="280"/>
      <c r="AD95" s="280"/>
      <c r="AE95" s="280"/>
      <c r="AF95" s="568"/>
      <c r="AG95" s="568"/>
      <c r="AH95" s="588"/>
      <c r="AI95" s="226">
        <v>7987.5</v>
      </c>
      <c r="AJ95" s="292" t="s">
        <v>6</v>
      </c>
      <c r="AK95" s="525"/>
      <c r="AL95" s="568"/>
      <c r="AM95" s="568"/>
      <c r="AN95" s="588"/>
      <c r="AO95" s="226"/>
      <c r="AP95" s="292"/>
      <c r="AQ95" s="572"/>
      <c r="AR95" s="280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1:65" ht="15" customHeight="1" x14ac:dyDescent="0.25">
      <c r="A96" s="400">
        <v>44</v>
      </c>
      <c r="B96" s="459">
        <v>2446912</v>
      </c>
      <c r="C96" s="549" t="s">
        <v>357</v>
      </c>
      <c r="D96" s="516">
        <v>0.75</v>
      </c>
      <c r="E96" s="518">
        <v>5250</v>
      </c>
      <c r="F96" s="516">
        <v>0.75</v>
      </c>
      <c r="G96" s="518">
        <f>E96</f>
        <v>5250</v>
      </c>
      <c r="H96" s="520"/>
      <c r="I96" s="520"/>
      <c r="J96" s="565"/>
      <c r="K96" s="222"/>
      <c r="L96" s="141"/>
      <c r="M96" s="293"/>
      <c r="N96" s="9"/>
      <c r="O96" s="9"/>
      <c r="P96" s="9"/>
      <c r="Q96" s="9"/>
      <c r="R96" s="9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520"/>
      <c r="AG96" s="520"/>
      <c r="AH96" s="522"/>
      <c r="AI96" s="222"/>
      <c r="AJ96" s="141"/>
      <c r="AK96" s="571"/>
      <c r="AL96" s="520" t="s">
        <v>145</v>
      </c>
      <c r="AM96" s="520" t="s">
        <v>612</v>
      </c>
      <c r="AN96" s="522" t="s">
        <v>532</v>
      </c>
      <c r="AO96" s="222">
        <v>0.75</v>
      </c>
      <c r="AP96" s="141" t="s">
        <v>5</v>
      </c>
      <c r="AQ96" s="571">
        <f>AO96*18633.54</f>
        <v>13975.155000000001</v>
      </c>
      <c r="AR96" s="280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1:65" ht="15" customHeight="1" x14ac:dyDescent="0.25">
      <c r="A97" s="401"/>
      <c r="B97" s="460"/>
      <c r="C97" s="550"/>
      <c r="D97" s="517"/>
      <c r="E97" s="519"/>
      <c r="F97" s="517"/>
      <c r="G97" s="519"/>
      <c r="H97" s="521"/>
      <c r="I97" s="521"/>
      <c r="J97" s="566"/>
      <c r="K97" s="222"/>
      <c r="L97" s="141"/>
      <c r="M97" s="293"/>
      <c r="N97" s="9"/>
      <c r="O97" s="9"/>
      <c r="P97" s="9"/>
      <c r="Q97" s="9"/>
      <c r="R97" s="9"/>
      <c r="S97" s="280"/>
      <c r="T97" s="280"/>
      <c r="U97" s="280"/>
      <c r="V97" s="280"/>
      <c r="W97" s="280"/>
      <c r="X97" s="280"/>
      <c r="Y97" s="280"/>
      <c r="Z97" s="280"/>
      <c r="AA97" s="280"/>
      <c r="AB97" s="280"/>
      <c r="AC97" s="280"/>
      <c r="AD97" s="280"/>
      <c r="AE97" s="280"/>
      <c r="AF97" s="521"/>
      <c r="AG97" s="521"/>
      <c r="AH97" s="523"/>
      <c r="AI97" s="222"/>
      <c r="AJ97" s="141"/>
      <c r="AK97" s="572"/>
      <c r="AL97" s="521"/>
      <c r="AM97" s="521"/>
      <c r="AN97" s="523"/>
      <c r="AO97" s="222">
        <v>5250</v>
      </c>
      <c r="AP97" s="141" t="s">
        <v>637</v>
      </c>
      <c r="AQ97" s="572"/>
      <c r="AR97" s="280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1:65" ht="15" customHeight="1" x14ac:dyDescent="0.25">
      <c r="A98" s="400">
        <v>45</v>
      </c>
      <c r="B98" s="543">
        <v>2447853</v>
      </c>
      <c r="C98" s="545" t="s">
        <v>427</v>
      </c>
      <c r="D98" s="516">
        <v>0.44</v>
      </c>
      <c r="E98" s="518">
        <v>3080</v>
      </c>
      <c r="F98" s="516">
        <v>0.44</v>
      </c>
      <c r="G98" s="518">
        <v>3080</v>
      </c>
      <c r="H98" s="520"/>
      <c r="I98" s="520"/>
      <c r="J98" s="565"/>
      <c r="K98" s="222"/>
      <c r="L98" s="141"/>
      <c r="M98" s="293"/>
      <c r="N98" s="9"/>
      <c r="O98" s="9"/>
      <c r="P98" s="9"/>
      <c r="Q98" s="9"/>
      <c r="R98" s="9"/>
      <c r="S98" s="280"/>
      <c r="T98" s="280"/>
      <c r="U98" s="280"/>
      <c r="V98" s="280"/>
      <c r="W98" s="280"/>
      <c r="X98" s="280"/>
      <c r="Y98" s="280"/>
      <c r="Z98" s="280"/>
      <c r="AA98" s="280"/>
      <c r="AB98" s="280"/>
      <c r="AC98" s="280"/>
      <c r="AD98" s="280"/>
      <c r="AE98" s="280"/>
      <c r="AF98" s="575"/>
      <c r="AG98" s="575"/>
      <c r="AH98" s="490"/>
      <c r="AI98" s="163"/>
      <c r="AJ98" s="283"/>
      <c r="AK98" s="571"/>
      <c r="AL98" s="575" t="s">
        <v>145</v>
      </c>
      <c r="AM98" s="575" t="s">
        <v>640</v>
      </c>
      <c r="AN98" s="490" t="s">
        <v>532</v>
      </c>
      <c r="AO98" s="163">
        <v>0.44</v>
      </c>
      <c r="AP98" s="283" t="s">
        <v>5</v>
      </c>
      <c r="AQ98" s="571">
        <f t="shared" ref="AQ98" si="59">AO98*18633.54</f>
        <v>8198.7576000000008</v>
      </c>
      <c r="AR98" s="280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ht="15" customHeight="1" x14ac:dyDescent="0.25">
      <c r="A99" s="401"/>
      <c r="B99" s="544" t="s">
        <v>426</v>
      </c>
      <c r="C99" s="546" t="s">
        <v>427</v>
      </c>
      <c r="D99" s="517">
        <v>0.44</v>
      </c>
      <c r="E99" s="519">
        <v>3080</v>
      </c>
      <c r="F99" s="517">
        <v>0.44</v>
      </c>
      <c r="G99" s="519">
        <v>3080</v>
      </c>
      <c r="H99" s="521"/>
      <c r="I99" s="521"/>
      <c r="J99" s="566"/>
      <c r="K99" s="222"/>
      <c r="L99" s="141"/>
      <c r="M99" s="293"/>
      <c r="N99" s="9"/>
      <c r="O99" s="9"/>
      <c r="P99" s="9"/>
      <c r="Q99" s="9"/>
      <c r="R99" s="9"/>
      <c r="S99" s="280"/>
      <c r="T99" s="280"/>
      <c r="U99" s="280"/>
      <c r="V99" s="280"/>
      <c r="W99" s="280"/>
      <c r="X99" s="280"/>
      <c r="Y99" s="280"/>
      <c r="Z99" s="280"/>
      <c r="AA99" s="280"/>
      <c r="AB99" s="280"/>
      <c r="AC99" s="280"/>
      <c r="AD99" s="280"/>
      <c r="AE99" s="280"/>
      <c r="AF99" s="576"/>
      <c r="AG99" s="576"/>
      <c r="AH99" s="491"/>
      <c r="AI99" s="163"/>
      <c r="AJ99" s="283"/>
      <c r="AK99" s="572"/>
      <c r="AL99" s="576"/>
      <c r="AM99" s="576"/>
      <c r="AN99" s="491"/>
      <c r="AO99" s="163">
        <v>3080</v>
      </c>
      <c r="AP99" s="283" t="s">
        <v>6</v>
      </c>
      <c r="AQ99" s="572"/>
      <c r="AR99" s="280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1:65" s="209" customFormat="1" ht="15" customHeight="1" x14ac:dyDescent="0.25">
      <c r="A100" s="400">
        <v>46</v>
      </c>
      <c r="B100" s="541">
        <v>2447125</v>
      </c>
      <c r="C100" s="529" t="s">
        <v>423</v>
      </c>
      <c r="D100" s="533">
        <v>2.09</v>
      </c>
      <c r="E100" s="535">
        <f t="shared" ref="E100" si="60">D100*7000</f>
        <v>14629.999999999998</v>
      </c>
      <c r="F100" s="533">
        <v>2.09</v>
      </c>
      <c r="G100" s="535">
        <f t="shared" ref="G100" si="61">F100*7000</f>
        <v>14629.999999999998</v>
      </c>
      <c r="H100" s="569"/>
      <c r="I100" s="569"/>
      <c r="J100" s="539"/>
      <c r="K100" s="197"/>
      <c r="L100" s="197"/>
      <c r="M100" s="463"/>
      <c r="N100" s="197"/>
      <c r="O100" s="197"/>
      <c r="P100" s="197"/>
      <c r="Q100" s="197"/>
      <c r="R100" s="197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537" t="s">
        <v>145</v>
      </c>
      <c r="AM100" s="537" t="s">
        <v>627</v>
      </c>
      <c r="AN100" s="539" t="s">
        <v>532</v>
      </c>
      <c r="AO100" s="202">
        <v>2.09</v>
      </c>
      <c r="AP100" s="197" t="s">
        <v>5</v>
      </c>
      <c r="AQ100" s="571">
        <f t="shared" ref="AQ100" si="62">AO100*18633.54</f>
        <v>38944.098599999998</v>
      </c>
      <c r="AR100" s="204"/>
    </row>
    <row r="101" spans="1:65" s="209" customFormat="1" ht="15" customHeight="1" x14ac:dyDescent="0.25">
      <c r="A101" s="401"/>
      <c r="B101" s="542"/>
      <c r="C101" s="530"/>
      <c r="D101" s="534"/>
      <c r="E101" s="536"/>
      <c r="F101" s="534"/>
      <c r="G101" s="536"/>
      <c r="H101" s="570"/>
      <c r="I101" s="570"/>
      <c r="J101" s="540"/>
      <c r="K101" s="197"/>
      <c r="L101" s="197"/>
      <c r="M101" s="464"/>
      <c r="N101" s="197"/>
      <c r="O101" s="197"/>
      <c r="P101" s="197"/>
      <c r="Q101" s="197"/>
      <c r="R101" s="197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538"/>
      <c r="AM101" s="538"/>
      <c r="AN101" s="540"/>
      <c r="AO101" s="202">
        <f>AO100*7000</f>
        <v>14629.999999999998</v>
      </c>
      <c r="AP101" s="197" t="s">
        <v>8</v>
      </c>
      <c r="AQ101" s="572"/>
      <c r="AR101" s="204"/>
    </row>
    <row r="102" spans="1:65" s="209" customFormat="1" ht="15" customHeight="1" x14ac:dyDescent="0.25">
      <c r="A102" s="400">
        <v>47</v>
      </c>
      <c r="B102" s="432">
        <v>2447725</v>
      </c>
      <c r="C102" s="545" t="s">
        <v>453</v>
      </c>
      <c r="D102" s="533">
        <v>3.55</v>
      </c>
      <c r="E102" s="535">
        <f t="shared" ref="E102" si="63">D102*7000</f>
        <v>24850</v>
      </c>
      <c r="F102" s="533">
        <v>3.55</v>
      </c>
      <c r="G102" s="535">
        <f t="shared" ref="G102" si="64">F102*7000</f>
        <v>24850</v>
      </c>
      <c r="H102" s="537"/>
      <c r="I102" s="537"/>
      <c r="J102" s="573"/>
      <c r="K102" s="202"/>
      <c r="L102" s="197"/>
      <c r="M102" s="294"/>
      <c r="N102" s="197"/>
      <c r="O102" s="197"/>
      <c r="P102" s="197"/>
      <c r="Q102" s="197"/>
      <c r="R102" s="197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537" t="s">
        <v>145</v>
      </c>
      <c r="AM102" s="537" t="s">
        <v>535</v>
      </c>
      <c r="AN102" s="539" t="s">
        <v>532</v>
      </c>
      <c r="AO102" s="202">
        <v>3.55</v>
      </c>
      <c r="AP102" s="197" t="s">
        <v>5</v>
      </c>
      <c r="AQ102" s="571">
        <f t="shared" ref="AQ102" si="65">AO102*18633.54</f>
        <v>66149.066999999995</v>
      </c>
      <c r="AR102" s="204"/>
    </row>
    <row r="103" spans="1:65" s="209" customFormat="1" ht="15" customHeight="1" x14ac:dyDescent="0.25">
      <c r="A103" s="401"/>
      <c r="B103" s="433"/>
      <c r="C103" s="546"/>
      <c r="D103" s="534"/>
      <c r="E103" s="536"/>
      <c r="F103" s="534"/>
      <c r="G103" s="536"/>
      <c r="H103" s="538"/>
      <c r="I103" s="538"/>
      <c r="J103" s="574"/>
      <c r="K103" s="202"/>
      <c r="L103" s="197"/>
      <c r="M103" s="294"/>
      <c r="N103" s="197"/>
      <c r="O103" s="197"/>
      <c r="P103" s="197"/>
      <c r="Q103" s="197"/>
      <c r="R103" s="197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538"/>
      <c r="AM103" s="538"/>
      <c r="AN103" s="540"/>
      <c r="AO103" s="202">
        <f>AO102*7000</f>
        <v>24850</v>
      </c>
      <c r="AP103" s="197" t="s">
        <v>8</v>
      </c>
      <c r="AQ103" s="572"/>
      <c r="AR103" s="204"/>
    </row>
    <row r="104" spans="1:65" s="209" customFormat="1" ht="15" customHeight="1" x14ac:dyDescent="0.25">
      <c r="A104" s="400">
        <v>48</v>
      </c>
      <c r="B104" s="541">
        <v>2448053</v>
      </c>
      <c r="C104" s="529" t="s">
        <v>151</v>
      </c>
      <c r="D104" s="533">
        <v>1.32</v>
      </c>
      <c r="E104" s="535">
        <f t="shared" ref="E104" si="66">D104*7000</f>
        <v>9240</v>
      </c>
      <c r="F104" s="533">
        <f>D104</f>
        <v>1.32</v>
      </c>
      <c r="G104" s="535">
        <f t="shared" ref="G104" si="67">F104*7000</f>
        <v>9240</v>
      </c>
      <c r="H104" s="569"/>
      <c r="I104" s="569"/>
      <c r="J104" s="539"/>
      <c r="K104" s="197"/>
      <c r="L104" s="197"/>
      <c r="M104" s="463"/>
      <c r="N104" s="197"/>
      <c r="O104" s="197"/>
      <c r="P104" s="197"/>
      <c r="Q104" s="197"/>
      <c r="R104" s="197"/>
      <c r="S104" s="139"/>
      <c r="T104" s="569"/>
      <c r="U104" s="569"/>
      <c r="V104" s="539"/>
      <c r="W104" s="197"/>
      <c r="X104" s="197"/>
      <c r="Y104" s="463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537" t="s">
        <v>145</v>
      </c>
      <c r="AM104" s="537" t="s">
        <v>700</v>
      </c>
      <c r="AN104" s="539" t="s">
        <v>532</v>
      </c>
      <c r="AO104" s="202">
        <v>1.32</v>
      </c>
      <c r="AP104" s="197" t="s">
        <v>5</v>
      </c>
      <c r="AQ104" s="571">
        <v>10248.450000000001</v>
      </c>
      <c r="AR104" s="204"/>
    </row>
    <row r="105" spans="1:65" s="209" customFormat="1" ht="15" customHeight="1" x14ac:dyDescent="0.25">
      <c r="A105" s="401"/>
      <c r="B105" s="542"/>
      <c r="C105" s="530"/>
      <c r="D105" s="534"/>
      <c r="E105" s="536"/>
      <c r="F105" s="534"/>
      <c r="G105" s="536"/>
      <c r="H105" s="570"/>
      <c r="I105" s="570"/>
      <c r="J105" s="540"/>
      <c r="K105" s="197"/>
      <c r="L105" s="197"/>
      <c r="M105" s="464"/>
      <c r="N105" s="197"/>
      <c r="O105" s="197"/>
      <c r="P105" s="197"/>
      <c r="Q105" s="197"/>
      <c r="R105" s="197"/>
      <c r="S105" s="139"/>
      <c r="T105" s="570"/>
      <c r="U105" s="570"/>
      <c r="V105" s="540"/>
      <c r="W105" s="197"/>
      <c r="X105" s="197"/>
      <c r="Y105" s="464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538"/>
      <c r="AM105" s="538"/>
      <c r="AN105" s="540"/>
      <c r="AO105" s="202">
        <f>AO104*7000</f>
        <v>9240</v>
      </c>
      <c r="AP105" s="197" t="s">
        <v>8</v>
      </c>
      <c r="AQ105" s="572"/>
      <c r="AR105" s="204"/>
    </row>
    <row r="106" spans="1:65" ht="15" customHeight="1" x14ac:dyDescent="0.25">
      <c r="A106" s="400">
        <v>49</v>
      </c>
      <c r="B106" s="459">
        <v>2447564</v>
      </c>
      <c r="C106" s="529" t="s">
        <v>370</v>
      </c>
      <c r="D106" s="516">
        <v>1.92</v>
      </c>
      <c r="E106" s="518">
        <v>13440</v>
      </c>
      <c r="F106" s="516">
        <v>1.92</v>
      </c>
      <c r="G106" s="518">
        <v>13440</v>
      </c>
      <c r="H106" s="520"/>
      <c r="I106" s="520"/>
      <c r="J106" s="565"/>
      <c r="K106" s="222"/>
      <c r="L106" s="141"/>
      <c r="M106" s="293"/>
      <c r="N106" s="9"/>
      <c r="O106" s="9"/>
      <c r="P106" s="9"/>
      <c r="Q106" s="9"/>
      <c r="R106" s="9"/>
      <c r="S106" s="280"/>
      <c r="T106" s="280"/>
      <c r="U106" s="280"/>
      <c r="V106" s="280"/>
      <c r="W106" s="280"/>
      <c r="X106" s="280"/>
      <c r="Y106" s="280"/>
      <c r="Z106" s="490"/>
      <c r="AA106" s="490"/>
      <c r="AB106" s="490"/>
      <c r="AC106" s="283"/>
      <c r="AD106" s="283"/>
      <c r="AE106" s="490"/>
      <c r="AF106" s="280"/>
      <c r="AG106" s="280"/>
      <c r="AH106" s="280"/>
      <c r="AI106" s="280"/>
      <c r="AJ106" s="280"/>
      <c r="AK106" s="280"/>
      <c r="AL106" s="575" t="s">
        <v>145</v>
      </c>
      <c r="AM106" s="575" t="s">
        <v>634</v>
      </c>
      <c r="AN106" s="490" t="s">
        <v>41</v>
      </c>
      <c r="AO106" s="163">
        <v>1.92</v>
      </c>
      <c r="AP106" s="283" t="s">
        <v>5</v>
      </c>
      <c r="AQ106" s="571">
        <f t="shared" ref="AQ106" si="68">AO106*18633.54</f>
        <v>35776.396800000002</v>
      </c>
      <c r="AR106" s="280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1:65" ht="15" customHeight="1" x14ac:dyDescent="0.25">
      <c r="A107" s="401"/>
      <c r="B107" s="460"/>
      <c r="C107" s="530"/>
      <c r="D107" s="517"/>
      <c r="E107" s="519"/>
      <c r="F107" s="517"/>
      <c r="G107" s="519"/>
      <c r="H107" s="521"/>
      <c r="I107" s="521"/>
      <c r="J107" s="566"/>
      <c r="K107" s="222"/>
      <c r="L107" s="141"/>
      <c r="M107" s="293"/>
      <c r="N107" s="9"/>
      <c r="O107" s="9"/>
      <c r="P107" s="9"/>
      <c r="Q107" s="9"/>
      <c r="R107" s="9"/>
      <c r="S107" s="280"/>
      <c r="T107" s="280"/>
      <c r="U107" s="280"/>
      <c r="V107" s="280"/>
      <c r="W107" s="280"/>
      <c r="X107" s="280"/>
      <c r="Y107" s="280"/>
      <c r="Z107" s="491"/>
      <c r="AA107" s="491"/>
      <c r="AB107" s="491"/>
      <c r="AC107" s="283"/>
      <c r="AD107" s="283"/>
      <c r="AE107" s="491"/>
      <c r="AF107" s="280"/>
      <c r="AG107" s="280"/>
      <c r="AH107" s="280"/>
      <c r="AI107" s="280"/>
      <c r="AJ107" s="280"/>
      <c r="AK107" s="280"/>
      <c r="AL107" s="576"/>
      <c r="AM107" s="576"/>
      <c r="AN107" s="491"/>
      <c r="AO107" s="163">
        <v>13440</v>
      </c>
      <c r="AP107" s="283" t="s">
        <v>6</v>
      </c>
      <c r="AQ107" s="572"/>
      <c r="AR107" s="280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1:65" ht="15" customHeight="1" x14ac:dyDescent="0.25">
      <c r="A108" s="400">
        <v>50</v>
      </c>
      <c r="B108" s="543">
        <v>2448513</v>
      </c>
      <c r="C108" s="545" t="s">
        <v>422</v>
      </c>
      <c r="D108" s="516">
        <v>0.41</v>
      </c>
      <c r="E108" s="518">
        <v>2870</v>
      </c>
      <c r="F108" s="516">
        <v>0.41</v>
      </c>
      <c r="G108" s="518">
        <v>2870</v>
      </c>
      <c r="H108" s="520"/>
      <c r="I108" s="520"/>
      <c r="J108" s="565"/>
      <c r="K108" s="222"/>
      <c r="L108" s="141"/>
      <c r="M108" s="293"/>
      <c r="N108" s="9"/>
      <c r="O108" s="9"/>
      <c r="P108" s="9"/>
      <c r="Q108" s="9"/>
      <c r="R108" s="9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0"/>
      <c r="AE108" s="280"/>
      <c r="AF108" s="280"/>
      <c r="AG108" s="280"/>
      <c r="AH108" s="280"/>
      <c r="AI108" s="280"/>
      <c r="AJ108" s="280"/>
      <c r="AK108" s="280"/>
      <c r="AL108" s="575" t="s">
        <v>145</v>
      </c>
      <c r="AM108" s="575" t="s">
        <v>647</v>
      </c>
      <c r="AN108" s="490" t="s">
        <v>41</v>
      </c>
      <c r="AO108" s="163">
        <v>0.41</v>
      </c>
      <c r="AP108" s="283" t="s">
        <v>5</v>
      </c>
      <c r="AQ108" s="571">
        <f t="shared" ref="AQ108" si="69">AO108*18633.54</f>
        <v>7639.7514000000001</v>
      </c>
      <c r="AR108" s="280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  <row r="109" spans="1:65" ht="15" customHeight="1" x14ac:dyDescent="0.25">
      <c r="A109" s="401"/>
      <c r="B109" s="544" t="s">
        <v>421</v>
      </c>
      <c r="C109" s="546" t="s">
        <v>422</v>
      </c>
      <c r="D109" s="517">
        <v>0.41</v>
      </c>
      <c r="E109" s="519">
        <v>2870</v>
      </c>
      <c r="F109" s="517">
        <v>0.41</v>
      </c>
      <c r="G109" s="519">
        <v>2870</v>
      </c>
      <c r="H109" s="521"/>
      <c r="I109" s="521"/>
      <c r="J109" s="566"/>
      <c r="K109" s="222"/>
      <c r="L109" s="141"/>
      <c r="M109" s="293"/>
      <c r="N109" s="9"/>
      <c r="O109" s="9"/>
      <c r="P109" s="9"/>
      <c r="Q109" s="9"/>
      <c r="R109" s="9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280"/>
      <c r="AJ109" s="280"/>
      <c r="AK109" s="280"/>
      <c r="AL109" s="576"/>
      <c r="AM109" s="576"/>
      <c r="AN109" s="491"/>
      <c r="AO109" s="163">
        <v>2870</v>
      </c>
      <c r="AP109" s="283" t="s">
        <v>6</v>
      </c>
      <c r="AQ109" s="572"/>
      <c r="AR109" s="280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</row>
    <row r="110" spans="1:65" ht="15" customHeight="1" x14ac:dyDescent="0.25">
      <c r="A110" s="400">
        <v>51</v>
      </c>
      <c r="B110" s="543">
        <v>2448887</v>
      </c>
      <c r="C110" s="545" t="s">
        <v>470</v>
      </c>
      <c r="D110" s="516">
        <v>1.56</v>
      </c>
      <c r="E110" s="518">
        <v>11700</v>
      </c>
      <c r="F110" s="516">
        <v>1.56</v>
      </c>
      <c r="G110" s="518">
        <v>2870</v>
      </c>
      <c r="H110" s="520"/>
      <c r="I110" s="520"/>
      <c r="J110" s="565"/>
      <c r="K110" s="222"/>
      <c r="L110" s="141"/>
      <c r="M110" s="293"/>
      <c r="N110" s="9"/>
      <c r="O110" s="9"/>
      <c r="P110" s="9"/>
      <c r="Q110" s="9"/>
      <c r="R110" s="9"/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0"/>
      <c r="AD110" s="280"/>
      <c r="AE110" s="280"/>
      <c r="AF110" s="280"/>
      <c r="AG110" s="280"/>
      <c r="AH110" s="280"/>
      <c r="AI110" s="280"/>
      <c r="AJ110" s="280"/>
      <c r="AK110" s="280"/>
      <c r="AL110" s="575" t="s">
        <v>145</v>
      </c>
      <c r="AM110" s="575" t="s">
        <v>669</v>
      </c>
      <c r="AN110" s="539" t="s">
        <v>532</v>
      </c>
      <c r="AO110" s="163">
        <v>1.56</v>
      </c>
      <c r="AP110" s="283" t="s">
        <v>5</v>
      </c>
      <c r="AQ110" s="571">
        <f t="shared" ref="AQ110" si="70">AO110*18633.54</f>
        <v>29068.322400000001</v>
      </c>
      <c r="AR110" s="280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</row>
    <row r="111" spans="1:65" ht="15" customHeight="1" x14ac:dyDescent="0.25">
      <c r="A111" s="401"/>
      <c r="B111" s="544" t="s">
        <v>421</v>
      </c>
      <c r="C111" s="546" t="s">
        <v>422</v>
      </c>
      <c r="D111" s="517">
        <v>0.41</v>
      </c>
      <c r="E111" s="519">
        <v>2870</v>
      </c>
      <c r="F111" s="517">
        <v>0.41</v>
      </c>
      <c r="G111" s="519">
        <v>2870</v>
      </c>
      <c r="H111" s="521"/>
      <c r="I111" s="521"/>
      <c r="J111" s="566"/>
      <c r="K111" s="222"/>
      <c r="L111" s="141"/>
      <c r="M111" s="293"/>
      <c r="N111" s="9"/>
      <c r="O111" s="9"/>
      <c r="P111" s="9"/>
      <c r="Q111" s="9"/>
      <c r="R111" s="9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  <c r="AL111" s="576"/>
      <c r="AM111" s="576"/>
      <c r="AN111" s="540"/>
      <c r="AO111" s="163">
        <v>11700</v>
      </c>
      <c r="AP111" s="283" t="s">
        <v>6</v>
      </c>
      <c r="AQ111" s="572"/>
      <c r="AR111" s="280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</row>
    <row r="112" spans="1:65" customFormat="1" ht="15" customHeight="1" x14ac:dyDescent="0.2">
      <c r="A112" s="589" t="s">
        <v>153</v>
      </c>
      <c r="B112" s="590"/>
      <c r="C112" s="591"/>
      <c r="D112" s="8"/>
      <c r="E112" s="8"/>
      <c r="F112" s="8"/>
      <c r="G112" s="8"/>
      <c r="H112" s="9"/>
      <c r="I112" s="9"/>
      <c r="J112" s="143"/>
      <c r="K112" s="260">
        <f>K113+K115+K117+K119+K123+K125+K127+K133+K135+K139+K151+K141+K147+K143+K149+K145+K121+K131+K129</f>
        <v>3.07</v>
      </c>
      <c r="L112" s="168"/>
      <c r="M112" s="168">
        <f>M113+M115+M117+M119+M123+M125+M127+M133+M135+M139+M151+M141+M147+M143+M149+M145+M121+M131+M129</f>
        <v>22540.369800000004</v>
      </c>
      <c r="N112" s="9"/>
      <c r="O112" s="9"/>
      <c r="P112" s="9"/>
      <c r="Q112" s="260">
        <f>Q113+Q115+Q117+Q119+Q123+Q125+Q127+Q133+Q135+Q139+Q151+Q141+Q147+Q143+Q149+Q145+Q121+Q131+Q129</f>
        <v>3.1799999999999997</v>
      </c>
      <c r="R112" s="168"/>
      <c r="S112" s="168">
        <f>S113+S115+S117+S119+S123+S125+S127+S133+S135+S139+S151+S141+S147+S143+S149+S145+S121+S131+S129</f>
        <v>21755.9859</v>
      </c>
      <c r="T112" s="280"/>
      <c r="U112" s="280"/>
      <c r="V112" s="280"/>
      <c r="W112" s="260">
        <f>W113+W115+W117+W119+W123+W125+W127+W133+W135+W139+W151+W141+W147+W143+W149+W145+W121+W131+W129</f>
        <v>3.149</v>
      </c>
      <c r="X112" s="168"/>
      <c r="Y112" s="168">
        <f>Y113+Y115+Y117+Y119+Y123+Y125+Y127+Y133+Y135+Y139+Y151+Y141+Y147+Y143+Y149+Y145+Y121+Y131+Y129</f>
        <v>21974.906024</v>
      </c>
      <c r="Z112" s="280"/>
      <c r="AA112" s="280"/>
      <c r="AB112" s="280"/>
      <c r="AC112" s="260">
        <f>AC113+AC115+AC117+AC119+AC123+AC125+AC127+AC133+AC135+AC139+AC151+AC141+AC147+AC143+AC149+AC145+AC121+AC131+AC129+AC137</f>
        <v>2.867</v>
      </c>
      <c r="AD112" s="168"/>
      <c r="AE112" s="168">
        <f>AE113+AE115+AE117+AE119+AE123+AE125+AE127+AE133+AE135+AE139+AE151+AE141+AE147+AE143+AE149+AE145+AE121+AE131+AE129+AE137</f>
        <v>22521.600953000001</v>
      </c>
      <c r="AF112" s="280"/>
      <c r="AG112" s="280"/>
      <c r="AH112" s="280"/>
      <c r="AI112" s="260">
        <f>AI113+AI115+AI117+AI119+AI123+AI125+AI127+AI133+AI135+AI139+AI151+AI141+AI147+AI143+AI149+AI145+AI121+AI129+AI131+AI137</f>
        <v>3.0339999999999998</v>
      </c>
      <c r="AJ112" s="168"/>
      <c r="AK112" s="168">
        <f>AK113+AK115+AK117+AK119+AK123+AK125+AK127+AK133+AK135+AK139+AK151+AK141+AK147+AK143+AK149+AK145+AK121+AK129+AK131+AK137</f>
        <v>25538.719272000002</v>
      </c>
      <c r="AL112" s="168"/>
      <c r="AM112" s="168"/>
      <c r="AN112" s="168"/>
      <c r="AO112" s="260">
        <f>AO113+AO115+AO117+AO119+AO123+AO125+AO127+AO133+AO135+AO139+AO151+AO141+AO147+AO143+AO149+AO145+AO121+AO129+AO131+AO137</f>
        <v>3.2729999999999997</v>
      </c>
      <c r="AP112" s="168"/>
      <c r="AQ112" s="168">
        <f>AQ113+AQ115+AQ117+AQ119+AQ123+AQ125+AQ127+AQ133+AQ135+AQ139+AQ151+AQ141+AQ147+AQ143+AQ149+AQ145+AQ121+AQ129+AQ131+AQ137</f>
        <v>27176.861277</v>
      </c>
      <c r="AR112" s="280"/>
      <c r="AS112" s="180">
        <f>K112+Q112+W112+AC112+AI112+AO112</f>
        <v>18.573</v>
      </c>
    </row>
    <row r="113" spans="1:44" s="201" customFormat="1" x14ac:dyDescent="0.2">
      <c r="A113" s="420">
        <v>52</v>
      </c>
      <c r="B113" s="541">
        <v>2447964</v>
      </c>
      <c r="C113" s="592" t="s">
        <v>154</v>
      </c>
      <c r="D113" s="533">
        <v>1.7</v>
      </c>
      <c r="E113" s="535">
        <f t="shared" ref="E113" si="71">D113*7000</f>
        <v>11900</v>
      </c>
      <c r="F113" s="533">
        <v>1.7</v>
      </c>
      <c r="G113" s="535">
        <f t="shared" ref="G113" si="72">F113*7000</f>
        <v>11900</v>
      </c>
      <c r="H113" s="569" t="s">
        <v>145</v>
      </c>
      <c r="I113" s="569" t="s">
        <v>158</v>
      </c>
      <c r="J113" s="539" t="s">
        <v>11</v>
      </c>
      <c r="K113" s="202">
        <v>0.73</v>
      </c>
      <c r="L113" s="197" t="s">
        <v>5</v>
      </c>
      <c r="M113" s="569">
        <f>K113*7342.14</f>
        <v>5359.7622000000001</v>
      </c>
      <c r="N113" s="203"/>
      <c r="O113" s="203"/>
      <c r="P113" s="203"/>
      <c r="Q113" s="203"/>
      <c r="R113" s="203"/>
      <c r="S113" s="204"/>
      <c r="T113" s="204"/>
      <c r="U113" s="204"/>
      <c r="V113" s="204"/>
      <c r="W113" s="204"/>
      <c r="X113" s="204"/>
      <c r="Y113" s="204"/>
      <c r="Z113" s="204"/>
      <c r="AA113" s="204"/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204"/>
      <c r="AL113" s="204"/>
      <c r="AM113" s="204"/>
      <c r="AN113" s="204"/>
      <c r="AO113" s="204"/>
      <c r="AP113" s="204"/>
      <c r="AQ113" s="204"/>
      <c r="AR113" s="204"/>
    </row>
    <row r="114" spans="1:44" s="201" customFormat="1" x14ac:dyDescent="0.2">
      <c r="A114" s="421"/>
      <c r="B114" s="542"/>
      <c r="C114" s="593"/>
      <c r="D114" s="534"/>
      <c r="E114" s="536"/>
      <c r="F114" s="534"/>
      <c r="G114" s="536"/>
      <c r="H114" s="570"/>
      <c r="I114" s="570"/>
      <c r="J114" s="540"/>
      <c r="K114" s="202">
        <f>K113*7000</f>
        <v>5110</v>
      </c>
      <c r="L114" s="197" t="s">
        <v>8</v>
      </c>
      <c r="M114" s="570"/>
      <c r="N114" s="203"/>
      <c r="O114" s="203"/>
      <c r="P114" s="203"/>
      <c r="Q114" s="203"/>
      <c r="R114" s="203"/>
      <c r="S114" s="204"/>
      <c r="T114" s="204"/>
      <c r="U114" s="204"/>
      <c r="V114" s="204"/>
      <c r="W114" s="204"/>
      <c r="X114" s="204"/>
      <c r="Y114" s="204"/>
      <c r="Z114" s="204"/>
      <c r="AA114" s="204"/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204"/>
      <c r="AL114" s="204"/>
      <c r="AM114" s="204"/>
      <c r="AN114" s="204"/>
      <c r="AO114" s="204"/>
      <c r="AP114" s="204"/>
      <c r="AQ114" s="204"/>
      <c r="AR114" s="204"/>
    </row>
    <row r="115" spans="1:44" s="201" customFormat="1" x14ac:dyDescent="0.2">
      <c r="A115" s="420">
        <v>53</v>
      </c>
      <c r="B115" s="432">
        <v>2448054</v>
      </c>
      <c r="C115" s="592" t="s">
        <v>155</v>
      </c>
      <c r="D115" s="533">
        <v>1.6</v>
      </c>
      <c r="E115" s="535">
        <f t="shared" ref="E115" si="73">D115*7000</f>
        <v>11200</v>
      </c>
      <c r="F115" s="533">
        <v>1.6</v>
      </c>
      <c r="G115" s="535">
        <f t="shared" ref="G115" si="74">F115*7000</f>
        <v>11200</v>
      </c>
      <c r="H115" s="569" t="s">
        <v>145</v>
      </c>
      <c r="I115" s="569" t="s">
        <v>592</v>
      </c>
      <c r="J115" s="539" t="s">
        <v>11</v>
      </c>
      <c r="K115" s="202">
        <v>0.94</v>
      </c>
      <c r="L115" s="197" t="s">
        <v>5</v>
      </c>
      <c r="M115" s="569">
        <f t="shared" ref="M115" si="75">K115*7342.14</f>
        <v>6901.6116000000002</v>
      </c>
      <c r="N115" s="203"/>
      <c r="O115" s="203"/>
      <c r="P115" s="203"/>
      <c r="Q115" s="203"/>
      <c r="R115" s="203"/>
      <c r="S115" s="204"/>
      <c r="T115" s="204"/>
      <c r="U115" s="204"/>
      <c r="V115" s="204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  <c r="AG115" s="204"/>
      <c r="AH115" s="204"/>
      <c r="AI115" s="204"/>
      <c r="AJ115" s="204"/>
      <c r="AK115" s="204"/>
      <c r="AL115" s="204"/>
      <c r="AM115" s="204"/>
      <c r="AN115" s="204"/>
      <c r="AO115" s="204"/>
      <c r="AP115" s="204"/>
      <c r="AQ115" s="204"/>
      <c r="AR115" s="204"/>
    </row>
    <row r="116" spans="1:44" s="201" customFormat="1" x14ac:dyDescent="0.2">
      <c r="A116" s="421"/>
      <c r="B116" s="433"/>
      <c r="C116" s="593"/>
      <c r="D116" s="534"/>
      <c r="E116" s="536"/>
      <c r="F116" s="534"/>
      <c r="G116" s="536"/>
      <c r="H116" s="570"/>
      <c r="I116" s="570"/>
      <c r="J116" s="540"/>
      <c r="K116" s="202">
        <f>K115*7000</f>
        <v>6580</v>
      </c>
      <c r="L116" s="197" t="s">
        <v>8</v>
      </c>
      <c r="M116" s="570"/>
      <c r="N116" s="203"/>
      <c r="O116" s="203"/>
      <c r="P116" s="203"/>
      <c r="Q116" s="203"/>
      <c r="R116" s="203"/>
      <c r="S116" s="204"/>
      <c r="T116" s="204"/>
      <c r="U116" s="204"/>
      <c r="V116" s="204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4"/>
      <c r="AG116" s="204"/>
      <c r="AH116" s="204"/>
      <c r="AI116" s="204"/>
      <c r="AJ116" s="204"/>
      <c r="AK116" s="204"/>
      <c r="AL116" s="204"/>
      <c r="AM116" s="204"/>
      <c r="AN116" s="204"/>
      <c r="AO116" s="204"/>
      <c r="AP116" s="204"/>
      <c r="AQ116" s="204"/>
      <c r="AR116" s="204"/>
    </row>
    <row r="117" spans="1:44" s="201" customFormat="1" x14ac:dyDescent="0.2">
      <c r="A117" s="420">
        <v>54</v>
      </c>
      <c r="B117" s="541">
        <v>2448640</v>
      </c>
      <c r="C117" s="592" t="s">
        <v>157</v>
      </c>
      <c r="D117" s="533">
        <v>1.9</v>
      </c>
      <c r="E117" s="535">
        <f t="shared" ref="E117" si="76">D117*7000</f>
        <v>13300</v>
      </c>
      <c r="F117" s="533">
        <v>1.9</v>
      </c>
      <c r="G117" s="535">
        <f t="shared" ref="G117" si="77">F117*7000</f>
        <v>13300</v>
      </c>
      <c r="H117" s="569" t="s">
        <v>145</v>
      </c>
      <c r="I117" s="569" t="s">
        <v>158</v>
      </c>
      <c r="J117" s="539" t="s">
        <v>11</v>
      </c>
      <c r="K117" s="202">
        <v>0.73</v>
      </c>
      <c r="L117" s="197" t="s">
        <v>5</v>
      </c>
      <c r="M117" s="569">
        <f t="shared" ref="M117" si="78">K117*7342.14</f>
        <v>5359.7622000000001</v>
      </c>
      <c r="N117" s="203"/>
      <c r="O117" s="203"/>
      <c r="P117" s="203"/>
      <c r="Q117" s="203"/>
      <c r="R117" s="203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</row>
    <row r="118" spans="1:44" s="201" customFormat="1" x14ac:dyDescent="0.2">
      <c r="A118" s="421"/>
      <c r="B118" s="542"/>
      <c r="C118" s="593"/>
      <c r="D118" s="534"/>
      <c r="E118" s="536"/>
      <c r="F118" s="534"/>
      <c r="G118" s="536"/>
      <c r="H118" s="570"/>
      <c r="I118" s="570"/>
      <c r="J118" s="540"/>
      <c r="K118" s="202">
        <f>K117*7000</f>
        <v>5110</v>
      </c>
      <c r="L118" s="197" t="s">
        <v>8</v>
      </c>
      <c r="M118" s="570"/>
      <c r="N118" s="203"/>
      <c r="O118" s="203"/>
      <c r="P118" s="203"/>
      <c r="Q118" s="203"/>
      <c r="R118" s="203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204"/>
      <c r="AJ118" s="204"/>
      <c r="AK118" s="204"/>
      <c r="AL118" s="204"/>
      <c r="AM118" s="204"/>
      <c r="AN118" s="204"/>
      <c r="AO118" s="204"/>
      <c r="AP118" s="204"/>
      <c r="AQ118" s="204"/>
      <c r="AR118" s="204"/>
    </row>
    <row r="119" spans="1:44" s="201" customFormat="1" x14ac:dyDescent="0.2">
      <c r="A119" s="420">
        <v>55</v>
      </c>
      <c r="B119" s="541">
        <v>2448053</v>
      </c>
      <c r="C119" s="592" t="s">
        <v>159</v>
      </c>
      <c r="D119" s="533">
        <v>1.6</v>
      </c>
      <c r="E119" s="535">
        <f t="shared" ref="E119" si="79">D119*7000</f>
        <v>11200</v>
      </c>
      <c r="F119" s="533">
        <v>1.6</v>
      </c>
      <c r="G119" s="535">
        <f t="shared" ref="G119" si="80">F119*7000</f>
        <v>11200</v>
      </c>
      <c r="H119" s="569" t="s">
        <v>145</v>
      </c>
      <c r="I119" s="569" t="s">
        <v>160</v>
      </c>
      <c r="J119" s="539" t="s">
        <v>11</v>
      </c>
      <c r="K119" s="202">
        <v>0.67</v>
      </c>
      <c r="L119" s="197" t="s">
        <v>5</v>
      </c>
      <c r="M119" s="569">
        <f t="shared" ref="M119" si="81">K119*7342.14</f>
        <v>4919.2338000000009</v>
      </c>
      <c r="N119" s="203"/>
      <c r="O119" s="203"/>
      <c r="P119" s="203"/>
      <c r="Q119" s="203"/>
      <c r="R119" s="203"/>
      <c r="S119" s="204"/>
      <c r="T119" s="204"/>
      <c r="U119" s="204"/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  <c r="AH119" s="204"/>
      <c r="AI119" s="204"/>
      <c r="AJ119" s="204"/>
      <c r="AK119" s="204"/>
      <c r="AL119" s="204"/>
      <c r="AM119" s="204"/>
      <c r="AN119" s="204"/>
      <c r="AO119" s="204"/>
      <c r="AP119" s="204"/>
      <c r="AQ119" s="204"/>
      <c r="AR119" s="204"/>
    </row>
    <row r="120" spans="1:44" s="201" customFormat="1" x14ac:dyDescent="0.2">
      <c r="A120" s="421"/>
      <c r="B120" s="542"/>
      <c r="C120" s="593"/>
      <c r="D120" s="534"/>
      <c r="E120" s="536"/>
      <c r="F120" s="534"/>
      <c r="G120" s="536"/>
      <c r="H120" s="570"/>
      <c r="I120" s="570"/>
      <c r="J120" s="540"/>
      <c r="K120" s="202">
        <f>K119*7000</f>
        <v>4690</v>
      </c>
      <c r="L120" s="197" t="s">
        <v>8</v>
      </c>
      <c r="M120" s="570"/>
      <c r="N120" s="203"/>
      <c r="O120" s="203"/>
      <c r="P120" s="203"/>
      <c r="Q120" s="203"/>
      <c r="R120" s="203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I120" s="204"/>
      <c r="AJ120" s="204"/>
      <c r="AK120" s="204"/>
      <c r="AL120" s="204"/>
      <c r="AM120" s="204"/>
      <c r="AN120" s="204"/>
      <c r="AO120" s="204"/>
      <c r="AP120" s="204"/>
      <c r="AQ120" s="204"/>
      <c r="AR120" s="204"/>
    </row>
    <row r="121" spans="1:44" s="201" customFormat="1" x14ac:dyDescent="0.2">
      <c r="A121" s="420">
        <v>56</v>
      </c>
      <c r="B121" s="432">
        <v>2448195</v>
      </c>
      <c r="C121" s="545" t="s">
        <v>476</v>
      </c>
      <c r="D121" s="422">
        <v>1.1499999999999999</v>
      </c>
      <c r="E121" s="535">
        <f t="shared" ref="E121" si="82">D121*7000</f>
        <v>8049.9999999999991</v>
      </c>
      <c r="F121" s="422">
        <v>1.1499999999999999</v>
      </c>
      <c r="G121" s="535">
        <f t="shared" ref="G121" si="83">F121*7000</f>
        <v>8049.9999999999991</v>
      </c>
      <c r="H121" s="569"/>
      <c r="I121" s="569"/>
      <c r="J121" s="539"/>
      <c r="K121" s="202"/>
      <c r="L121" s="197"/>
      <c r="M121" s="569"/>
      <c r="N121" s="569" t="s">
        <v>145</v>
      </c>
      <c r="O121" s="569" t="s">
        <v>593</v>
      </c>
      <c r="P121" s="539" t="s">
        <v>11</v>
      </c>
      <c r="Q121" s="202">
        <v>0.4</v>
      </c>
      <c r="R121" s="197" t="s">
        <v>5</v>
      </c>
      <c r="S121" s="569">
        <f>Q121*6841.505</f>
        <v>2736.6020000000003</v>
      </c>
      <c r="T121" s="204"/>
      <c r="U121" s="204"/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  <c r="AG121" s="204"/>
      <c r="AH121" s="204"/>
      <c r="AI121" s="204"/>
      <c r="AJ121" s="204"/>
      <c r="AK121" s="204"/>
      <c r="AL121" s="204"/>
      <c r="AM121" s="204"/>
      <c r="AN121" s="204"/>
      <c r="AO121" s="204"/>
      <c r="AP121" s="204"/>
      <c r="AQ121" s="204"/>
      <c r="AR121" s="204"/>
    </row>
    <row r="122" spans="1:44" s="201" customFormat="1" x14ac:dyDescent="0.2">
      <c r="A122" s="421"/>
      <c r="B122" s="433"/>
      <c r="C122" s="546"/>
      <c r="D122" s="423"/>
      <c r="E122" s="536"/>
      <c r="F122" s="423"/>
      <c r="G122" s="536"/>
      <c r="H122" s="570"/>
      <c r="I122" s="570"/>
      <c r="J122" s="540"/>
      <c r="K122" s="202"/>
      <c r="L122" s="197"/>
      <c r="M122" s="570"/>
      <c r="N122" s="570"/>
      <c r="O122" s="570"/>
      <c r="P122" s="540"/>
      <c r="Q122" s="202">
        <f>Q121*7000</f>
        <v>2800</v>
      </c>
      <c r="R122" s="197" t="s">
        <v>8</v>
      </c>
      <c r="S122" s="570"/>
      <c r="T122" s="204"/>
      <c r="U122" s="204"/>
      <c r="V122" s="204"/>
      <c r="W122" s="204"/>
      <c r="X122" s="204"/>
      <c r="Y122" s="204"/>
      <c r="Z122" s="204"/>
      <c r="AA122" s="204"/>
      <c r="AB122" s="204"/>
      <c r="AC122" s="204"/>
      <c r="AD122" s="204"/>
      <c r="AE122" s="204"/>
      <c r="AF122" s="204"/>
      <c r="AG122" s="204"/>
      <c r="AH122" s="204"/>
      <c r="AI122" s="204"/>
      <c r="AJ122" s="204"/>
      <c r="AK122" s="204"/>
      <c r="AL122" s="204"/>
      <c r="AM122" s="204"/>
      <c r="AN122" s="204"/>
      <c r="AO122" s="204"/>
      <c r="AP122" s="204"/>
      <c r="AQ122" s="204"/>
      <c r="AR122" s="204"/>
    </row>
    <row r="123" spans="1:44" s="201" customFormat="1" x14ac:dyDescent="0.2">
      <c r="A123" s="420">
        <v>57</v>
      </c>
      <c r="B123" s="432">
        <v>2448729</v>
      </c>
      <c r="C123" s="545" t="s">
        <v>373</v>
      </c>
      <c r="D123" s="533">
        <v>2.8</v>
      </c>
      <c r="E123" s="535">
        <f t="shared" ref="E123" si="84">D123*7000</f>
        <v>19600</v>
      </c>
      <c r="F123" s="533">
        <v>2.8</v>
      </c>
      <c r="G123" s="535">
        <f t="shared" ref="G123" si="85">F123*7000</f>
        <v>19600</v>
      </c>
      <c r="H123" s="569"/>
      <c r="I123" s="569"/>
      <c r="J123" s="539"/>
      <c r="K123" s="202"/>
      <c r="L123" s="197"/>
      <c r="M123" s="569"/>
      <c r="N123" s="569" t="s">
        <v>145</v>
      </c>
      <c r="O123" s="569" t="s">
        <v>537</v>
      </c>
      <c r="P123" s="539" t="s">
        <v>11</v>
      </c>
      <c r="Q123" s="202">
        <v>0.48</v>
      </c>
      <c r="R123" s="197" t="s">
        <v>5</v>
      </c>
      <c r="S123" s="569">
        <f t="shared" ref="S123" si="86">Q123*6841.505</f>
        <v>3283.9223999999999</v>
      </c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I123" s="204"/>
      <c r="AJ123" s="204"/>
      <c r="AK123" s="204"/>
      <c r="AL123" s="204"/>
      <c r="AM123" s="204"/>
      <c r="AN123" s="204"/>
      <c r="AO123" s="204"/>
      <c r="AP123" s="204"/>
      <c r="AQ123" s="204"/>
      <c r="AR123" s="204"/>
    </row>
    <row r="124" spans="1:44" s="201" customFormat="1" x14ac:dyDescent="0.2">
      <c r="A124" s="421"/>
      <c r="B124" s="433"/>
      <c r="C124" s="546"/>
      <c r="D124" s="534"/>
      <c r="E124" s="536"/>
      <c r="F124" s="534"/>
      <c r="G124" s="536"/>
      <c r="H124" s="570"/>
      <c r="I124" s="570"/>
      <c r="J124" s="540"/>
      <c r="K124" s="202"/>
      <c r="L124" s="197"/>
      <c r="M124" s="570"/>
      <c r="N124" s="570"/>
      <c r="O124" s="570"/>
      <c r="P124" s="540"/>
      <c r="Q124" s="202">
        <f>Q123*7000</f>
        <v>3360</v>
      </c>
      <c r="R124" s="197" t="s">
        <v>8</v>
      </c>
      <c r="S124" s="570"/>
      <c r="T124" s="204"/>
      <c r="U124" s="204"/>
      <c r="V124" s="204"/>
      <c r="W124" s="204"/>
      <c r="X124" s="204"/>
      <c r="Y124" s="204"/>
      <c r="Z124" s="204"/>
      <c r="AA124" s="204"/>
      <c r="AB124" s="204"/>
      <c r="AC124" s="204"/>
      <c r="AD124" s="204"/>
      <c r="AE124" s="204"/>
      <c r="AF124" s="204"/>
      <c r="AG124" s="204"/>
      <c r="AH124" s="204"/>
      <c r="AI124" s="204"/>
      <c r="AJ124" s="204"/>
      <c r="AK124" s="204"/>
      <c r="AL124" s="204"/>
      <c r="AM124" s="204"/>
      <c r="AN124" s="204"/>
      <c r="AO124" s="204"/>
      <c r="AP124" s="204"/>
      <c r="AQ124" s="204"/>
      <c r="AR124" s="204"/>
    </row>
    <row r="125" spans="1:44" s="201" customFormat="1" x14ac:dyDescent="0.2">
      <c r="A125" s="420">
        <v>58</v>
      </c>
      <c r="B125" s="432">
        <v>2448003</v>
      </c>
      <c r="C125" s="545" t="s">
        <v>414</v>
      </c>
      <c r="D125" s="422">
        <v>1.3</v>
      </c>
      <c r="E125" s="535">
        <f t="shared" ref="E125" si="87">D125*7000</f>
        <v>9100</v>
      </c>
      <c r="F125" s="422">
        <v>1.3</v>
      </c>
      <c r="G125" s="535">
        <f t="shared" ref="G125" si="88">F125*7000</f>
        <v>9100</v>
      </c>
      <c r="H125" s="569"/>
      <c r="I125" s="569"/>
      <c r="J125" s="539"/>
      <c r="K125" s="202"/>
      <c r="L125" s="197"/>
      <c r="M125" s="569"/>
      <c r="N125" s="569" t="s">
        <v>145</v>
      </c>
      <c r="O125" s="569" t="s">
        <v>538</v>
      </c>
      <c r="P125" s="539" t="s">
        <v>11</v>
      </c>
      <c r="Q125" s="202">
        <v>0.9</v>
      </c>
      <c r="R125" s="197" t="s">
        <v>5</v>
      </c>
      <c r="S125" s="569">
        <f t="shared" ref="S125" si="89">Q125*6841.505</f>
        <v>6157.3545000000004</v>
      </c>
      <c r="T125" s="204"/>
      <c r="U125" s="204"/>
      <c r="V125" s="204"/>
      <c r="W125" s="204"/>
      <c r="X125" s="204"/>
      <c r="Y125" s="204"/>
      <c r="Z125" s="204"/>
      <c r="AA125" s="204"/>
      <c r="AB125" s="204"/>
      <c r="AC125" s="204"/>
      <c r="AD125" s="204"/>
      <c r="AE125" s="204"/>
      <c r="AF125" s="204"/>
      <c r="AG125" s="204"/>
      <c r="AH125" s="204"/>
      <c r="AI125" s="204"/>
      <c r="AJ125" s="204"/>
      <c r="AK125" s="204"/>
      <c r="AL125" s="204"/>
      <c r="AM125" s="204"/>
      <c r="AN125" s="204"/>
      <c r="AO125" s="204"/>
      <c r="AP125" s="204"/>
      <c r="AQ125" s="204"/>
      <c r="AR125" s="204"/>
    </row>
    <row r="126" spans="1:44" s="201" customFormat="1" x14ac:dyDescent="0.2">
      <c r="A126" s="421"/>
      <c r="B126" s="433"/>
      <c r="C126" s="546"/>
      <c r="D126" s="423"/>
      <c r="E126" s="536"/>
      <c r="F126" s="423"/>
      <c r="G126" s="536"/>
      <c r="H126" s="570"/>
      <c r="I126" s="570"/>
      <c r="J126" s="540"/>
      <c r="K126" s="202"/>
      <c r="L126" s="197"/>
      <c r="M126" s="570"/>
      <c r="N126" s="570"/>
      <c r="O126" s="570"/>
      <c r="P126" s="540"/>
      <c r="Q126" s="202">
        <f>Q125*7000</f>
        <v>6300</v>
      </c>
      <c r="R126" s="197" t="s">
        <v>8</v>
      </c>
      <c r="S126" s="570"/>
      <c r="T126" s="204"/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  <c r="AF126" s="204"/>
      <c r="AG126" s="204"/>
      <c r="AH126" s="204"/>
      <c r="AI126" s="204"/>
      <c r="AJ126" s="204"/>
      <c r="AK126" s="204"/>
      <c r="AL126" s="204"/>
      <c r="AM126" s="204"/>
      <c r="AN126" s="204"/>
      <c r="AO126" s="204"/>
      <c r="AP126" s="204"/>
      <c r="AQ126" s="204"/>
      <c r="AR126" s="204"/>
    </row>
    <row r="127" spans="1:44" s="201" customFormat="1" x14ac:dyDescent="0.2">
      <c r="A127" s="420">
        <v>59</v>
      </c>
      <c r="B127" s="432">
        <v>2448614</v>
      </c>
      <c r="C127" s="545" t="s">
        <v>594</v>
      </c>
      <c r="D127" s="422">
        <v>1.4</v>
      </c>
      <c r="E127" s="535">
        <f t="shared" ref="E127" si="90">D127*7000</f>
        <v>9800</v>
      </c>
      <c r="F127" s="422">
        <v>1.4</v>
      </c>
      <c r="G127" s="535">
        <f t="shared" ref="G127" si="91">F127*7000</f>
        <v>9800</v>
      </c>
      <c r="H127" s="203"/>
      <c r="I127" s="203"/>
      <c r="J127" s="203"/>
      <c r="K127" s="202"/>
      <c r="L127" s="197"/>
      <c r="M127" s="197"/>
      <c r="N127" s="594" t="s">
        <v>145</v>
      </c>
      <c r="O127" s="594" t="s">
        <v>595</v>
      </c>
      <c r="P127" s="594" t="s">
        <v>11</v>
      </c>
      <c r="Q127" s="203">
        <v>1.4</v>
      </c>
      <c r="R127" s="203" t="s">
        <v>5</v>
      </c>
      <c r="S127" s="569">
        <f t="shared" ref="S127" si="92">Q127*6841.505</f>
        <v>9578.107</v>
      </c>
      <c r="T127" s="204"/>
      <c r="U127" s="204"/>
      <c r="V127" s="204"/>
      <c r="W127" s="204"/>
      <c r="X127" s="204"/>
      <c r="Y127" s="204"/>
      <c r="Z127" s="204"/>
      <c r="AA127" s="204"/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204"/>
      <c r="AL127" s="204"/>
      <c r="AM127" s="204"/>
      <c r="AN127" s="204"/>
      <c r="AO127" s="204"/>
      <c r="AP127" s="204"/>
      <c r="AQ127" s="204"/>
      <c r="AR127" s="204"/>
    </row>
    <row r="128" spans="1:44" s="201" customFormat="1" x14ac:dyDescent="0.2">
      <c r="A128" s="421"/>
      <c r="B128" s="433"/>
      <c r="C128" s="546"/>
      <c r="D128" s="423"/>
      <c r="E128" s="536"/>
      <c r="F128" s="423"/>
      <c r="G128" s="536"/>
      <c r="H128" s="203"/>
      <c r="I128" s="203"/>
      <c r="J128" s="203"/>
      <c r="K128" s="202"/>
      <c r="L128" s="197"/>
      <c r="M128" s="197"/>
      <c r="N128" s="595"/>
      <c r="O128" s="595"/>
      <c r="P128" s="595"/>
      <c r="Q128" s="203">
        <v>9800</v>
      </c>
      <c r="R128" s="203" t="s">
        <v>8</v>
      </c>
      <c r="S128" s="570"/>
      <c r="T128" s="204"/>
      <c r="U128" s="204"/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204"/>
      <c r="AH128" s="204"/>
      <c r="AI128" s="204"/>
      <c r="AJ128" s="204"/>
      <c r="AK128" s="204"/>
      <c r="AL128" s="204"/>
      <c r="AM128" s="204"/>
      <c r="AN128" s="204"/>
      <c r="AO128" s="204"/>
      <c r="AP128" s="204"/>
      <c r="AQ128" s="204"/>
      <c r="AR128" s="204"/>
    </row>
    <row r="129" spans="1:44" s="201" customFormat="1" x14ac:dyDescent="0.2">
      <c r="A129" s="420">
        <v>60</v>
      </c>
      <c r="B129" s="596">
        <v>2447636</v>
      </c>
      <c r="C129" s="598" t="s">
        <v>492</v>
      </c>
      <c r="D129" s="422">
        <v>0.316</v>
      </c>
      <c r="E129" s="535">
        <f t="shared" ref="E129" si="93">D129*7000</f>
        <v>2212</v>
      </c>
      <c r="F129" s="422">
        <v>0.316</v>
      </c>
      <c r="G129" s="535">
        <f t="shared" ref="G129" si="94">F129*7000</f>
        <v>2212</v>
      </c>
      <c r="H129" s="202"/>
      <c r="I129" s="197"/>
      <c r="J129" s="197"/>
      <c r="K129" s="202"/>
      <c r="L129" s="197"/>
      <c r="M129" s="197"/>
      <c r="N129" s="203"/>
      <c r="O129" s="203"/>
      <c r="P129" s="203"/>
      <c r="Q129" s="203"/>
      <c r="R129" s="203"/>
      <c r="S129" s="204"/>
      <c r="T129" s="422" t="s">
        <v>145</v>
      </c>
      <c r="U129" s="422" t="s">
        <v>616</v>
      </c>
      <c r="V129" s="422" t="s">
        <v>11</v>
      </c>
      <c r="W129" s="139">
        <v>0.316</v>
      </c>
      <c r="X129" s="139" t="s">
        <v>5</v>
      </c>
      <c r="Y129" s="569">
        <f>W129*6978.376</f>
        <v>2205.1668159999999</v>
      </c>
      <c r="Z129" s="204"/>
      <c r="AA129" s="204"/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204"/>
      <c r="AL129" s="422"/>
      <c r="AM129" s="422"/>
      <c r="AN129" s="422"/>
      <c r="AO129" s="139"/>
      <c r="AP129" s="139"/>
      <c r="AQ129" s="422"/>
      <c r="AR129" s="204"/>
    </row>
    <row r="130" spans="1:44" s="201" customFormat="1" x14ac:dyDescent="0.2">
      <c r="A130" s="421"/>
      <c r="B130" s="597"/>
      <c r="C130" s="599"/>
      <c r="D130" s="423"/>
      <c r="E130" s="536"/>
      <c r="F130" s="423"/>
      <c r="G130" s="536"/>
      <c r="H130" s="202"/>
      <c r="I130" s="197"/>
      <c r="J130" s="197"/>
      <c r="K130" s="202"/>
      <c r="L130" s="197"/>
      <c r="M130" s="197"/>
      <c r="N130" s="203"/>
      <c r="O130" s="203"/>
      <c r="P130" s="203"/>
      <c r="Q130" s="203"/>
      <c r="R130" s="203"/>
      <c r="S130" s="204"/>
      <c r="T130" s="423"/>
      <c r="U130" s="423"/>
      <c r="V130" s="423"/>
      <c r="W130" s="139">
        <v>2212</v>
      </c>
      <c r="X130" s="139" t="s">
        <v>8</v>
      </c>
      <c r="Y130" s="570"/>
      <c r="Z130" s="204"/>
      <c r="AA130" s="204"/>
      <c r="AB130" s="204"/>
      <c r="AC130" s="204"/>
      <c r="AD130" s="204"/>
      <c r="AE130" s="204"/>
      <c r="AF130" s="204"/>
      <c r="AG130" s="204"/>
      <c r="AH130" s="204"/>
      <c r="AI130" s="204"/>
      <c r="AJ130" s="204"/>
      <c r="AK130" s="204"/>
      <c r="AL130" s="423"/>
      <c r="AM130" s="423"/>
      <c r="AN130" s="423"/>
      <c r="AO130" s="139"/>
      <c r="AP130" s="139"/>
      <c r="AQ130" s="423"/>
      <c r="AR130" s="204"/>
    </row>
    <row r="131" spans="1:44" s="201" customFormat="1" x14ac:dyDescent="0.2">
      <c r="A131" s="420">
        <v>61</v>
      </c>
      <c r="B131" s="432">
        <v>2448773</v>
      </c>
      <c r="C131" s="545" t="s">
        <v>504</v>
      </c>
      <c r="D131" s="533">
        <v>1.1100000000000001</v>
      </c>
      <c r="E131" s="535">
        <f t="shared" ref="E131" si="95">D131*7000</f>
        <v>7770.0000000000009</v>
      </c>
      <c r="F131" s="533">
        <v>1.1100000000000001</v>
      </c>
      <c r="G131" s="535">
        <f t="shared" ref="G131" si="96">F131*7000</f>
        <v>7770.0000000000009</v>
      </c>
      <c r="H131" s="203"/>
      <c r="I131" s="203"/>
      <c r="J131" s="203"/>
      <c r="K131" s="202"/>
      <c r="L131" s="197"/>
      <c r="M131" s="197"/>
      <c r="N131" s="594"/>
      <c r="O131" s="594"/>
      <c r="P131" s="594"/>
      <c r="Q131" s="203"/>
      <c r="R131" s="203"/>
      <c r="S131" s="422"/>
      <c r="T131" s="594" t="s">
        <v>145</v>
      </c>
      <c r="U131" s="594" t="s">
        <v>596</v>
      </c>
      <c r="V131" s="594" t="s">
        <v>11</v>
      </c>
      <c r="W131" s="203">
        <v>1.1100000000000001</v>
      </c>
      <c r="X131" s="203" t="s">
        <v>5</v>
      </c>
      <c r="Y131" s="569">
        <f t="shared" ref="Y131" si="97">W131*6978.376</f>
        <v>7745.9973600000012</v>
      </c>
      <c r="Z131" s="204"/>
      <c r="AA131" s="204"/>
      <c r="AB131" s="204"/>
      <c r="AC131" s="204"/>
      <c r="AD131" s="204"/>
      <c r="AE131" s="204"/>
      <c r="AF131" s="204"/>
      <c r="AG131" s="204"/>
      <c r="AH131" s="204"/>
      <c r="AI131" s="204"/>
      <c r="AJ131" s="204"/>
      <c r="AK131" s="204"/>
      <c r="AL131" s="204"/>
      <c r="AM131" s="204"/>
      <c r="AN131" s="204"/>
      <c r="AO131" s="204"/>
      <c r="AP131" s="204"/>
      <c r="AQ131" s="204"/>
      <c r="AR131" s="204"/>
    </row>
    <row r="132" spans="1:44" s="201" customFormat="1" x14ac:dyDescent="0.2">
      <c r="A132" s="421"/>
      <c r="B132" s="433"/>
      <c r="C132" s="546"/>
      <c r="D132" s="534"/>
      <c r="E132" s="536"/>
      <c r="F132" s="534"/>
      <c r="G132" s="536"/>
      <c r="H132" s="203"/>
      <c r="I132" s="203"/>
      <c r="J132" s="203"/>
      <c r="K132" s="202"/>
      <c r="L132" s="197"/>
      <c r="M132" s="197"/>
      <c r="N132" s="595"/>
      <c r="O132" s="595"/>
      <c r="P132" s="595"/>
      <c r="Q132" s="203"/>
      <c r="R132" s="203"/>
      <c r="S132" s="423"/>
      <c r="T132" s="595"/>
      <c r="U132" s="595"/>
      <c r="V132" s="595"/>
      <c r="W132" s="203">
        <v>7770</v>
      </c>
      <c r="X132" s="203" t="s">
        <v>8</v>
      </c>
      <c r="Y132" s="570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</row>
    <row r="133" spans="1:44" s="201" customFormat="1" ht="15" customHeight="1" x14ac:dyDescent="0.2">
      <c r="A133" s="420">
        <v>62</v>
      </c>
      <c r="B133" s="541">
        <v>2447530</v>
      </c>
      <c r="C133" s="601" t="s">
        <v>597</v>
      </c>
      <c r="D133" s="533">
        <v>1.2</v>
      </c>
      <c r="E133" s="535">
        <f t="shared" ref="E133" si="98">D133*7000</f>
        <v>8400</v>
      </c>
      <c r="F133" s="533">
        <v>1.2</v>
      </c>
      <c r="G133" s="535">
        <f t="shared" ref="G133" si="99">F133*7000</f>
        <v>8400</v>
      </c>
      <c r="H133" s="203"/>
      <c r="I133" s="203"/>
      <c r="J133" s="203"/>
      <c r="K133" s="202"/>
      <c r="L133" s="197"/>
      <c r="M133" s="197"/>
      <c r="N133" s="203"/>
      <c r="O133" s="203"/>
      <c r="P133" s="203"/>
      <c r="Q133" s="203"/>
      <c r="R133" s="203"/>
      <c r="S133" s="204"/>
      <c r="T133" s="422" t="s">
        <v>145</v>
      </c>
      <c r="U133" s="422" t="s">
        <v>598</v>
      </c>
      <c r="V133" s="422" t="s">
        <v>11</v>
      </c>
      <c r="W133" s="139">
        <v>1.2</v>
      </c>
      <c r="X133" s="139" t="s">
        <v>5</v>
      </c>
      <c r="Y133" s="569">
        <f t="shared" ref="Y133" si="100">W133*6978.376</f>
        <v>8374.0511999999999</v>
      </c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</row>
    <row r="134" spans="1:44" s="201" customFormat="1" ht="15" customHeight="1" x14ac:dyDescent="0.2">
      <c r="A134" s="421"/>
      <c r="B134" s="542"/>
      <c r="C134" s="602"/>
      <c r="D134" s="534"/>
      <c r="E134" s="536"/>
      <c r="F134" s="534"/>
      <c r="G134" s="536"/>
      <c r="H134" s="203"/>
      <c r="I134" s="203"/>
      <c r="J134" s="203"/>
      <c r="K134" s="202"/>
      <c r="L134" s="197"/>
      <c r="M134" s="197"/>
      <c r="N134" s="203"/>
      <c r="O134" s="203"/>
      <c r="P134" s="203"/>
      <c r="Q134" s="203"/>
      <c r="R134" s="203"/>
      <c r="S134" s="204"/>
      <c r="T134" s="600"/>
      <c r="U134" s="600"/>
      <c r="V134" s="600"/>
      <c r="W134" s="139">
        <v>8400</v>
      </c>
      <c r="X134" s="139" t="s">
        <v>599</v>
      </c>
      <c r="Y134" s="570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</row>
    <row r="135" spans="1:44" s="201" customFormat="1" ht="15.75" customHeight="1" x14ac:dyDescent="0.2">
      <c r="A135" s="420">
        <v>63</v>
      </c>
      <c r="B135" s="596">
        <v>2448729</v>
      </c>
      <c r="C135" s="598" t="s">
        <v>513</v>
      </c>
      <c r="D135" s="533">
        <v>0.52300000000000002</v>
      </c>
      <c r="E135" s="535">
        <f t="shared" ref="E135" si="101">D135*7000</f>
        <v>3661</v>
      </c>
      <c r="F135" s="533">
        <v>0.52300000000000002</v>
      </c>
      <c r="G135" s="535">
        <f t="shared" ref="G135" si="102">F135*7000</f>
        <v>3661</v>
      </c>
      <c r="H135" s="203"/>
      <c r="I135" s="203"/>
      <c r="J135" s="203"/>
      <c r="K135" s="202"/>
      <c r="L135" s="197"/>
      <c r="M135" s="197"/>
      <c r="N135" s="203"/>
      <c r="O135" s="203"/>
      <c r="P135" s="203"/>
      <c r="Q135" s="203"/>
      <c r="R135" s="203"/>
      <c r="S135" s="204"/>
      <c r="T135" s="422" t="s">
        <v>145</v>
      </c>
      <c r="U135" s="422" t="s">
        <v>601</v>
      </c>
      <c r="V135" s="422" t="s">
        <v>11</v>
      </c>
      <c r="W135" s="139">
        <v>0.52300000000000002</v>
      </c>
      <c r="X135" s="139" t="s">
        <v>5</v>
      </c>
      <c r="Y135" s="569">
        <f t="shared" ref="Y135" si="103">W135*6978.376</f>
        <v>3649.6906480000002</v>
      </c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</row>
    <row r="136" spans="1:44" s="201" customFormat="1" ht="15.75" customHeight="1" x14ac:dyDescent="0.2">
      <c r="A136" s="421"/>
      <c r="B136" s="597"/>
      <c r="C136" s="599"/>
      <c r="D136" s="534"/>
      <c r="E136" s="536"/>
      <c r="F136" s="534"/>
      <c r="G136" s="536"/>
      <c r="H136" s="203"/>
      <c r="I136" s="203"/>
      <c r="J136" s="203"/>
      <c r="K136" s="202"/>
      <c r="L136" s="197"/>
      <c r="M136" s="197"/>
      <c r="N136" s="203"/>
      <c r="O136" s="203"/>
      <c r="P136" s="203"/>
      <c r="Q136" s="203"/>
      <c r="R136" s="203"/>
      <c r="S136" s="204"/>
      <c r="T136" s="600"/>
      <c r="U136" s="600"/>
      <c r="V136" s="600"/>
      <c r="W136" s="139">
        <v>3661</v>
      </c>
      <c r="X136" s="139" t="s">
        <v>599</v>
      </c>
      <c r="Y136" s="570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</row>
    <row r="137" spans="1:44" s="201" customFormat="1" x14ac:dyDescent="0.2">
      <c r="A137" s="420">
        <v>64</v>
      </c>
      <c r="B137" s="596">
        <v>2447710</v>
      </c>
      <c r="C137" s="598" t="s">
        <v>368</v>
      </c>
      <c r="D137" s="422">
        <v>1.5569999999999999</v>
      </c>
      <c r="E137" s="535">
        <f t="shared" ref="E137" si="104">D137*7000</f>
        <v>10899</v>
      </c>
      <c r="F137" s="422">
        <v>1.5569999999999999</v>
      </c>
      <c r="G137" s="535">
        <f t="shared" ref="G137" si="105">F137*7000</f>
        <v>10899</v>
      </c>
      <c r="H137" s="203"/>
      <c r="I137" s="203"/>
      <c r="J137" s="203"/>
      <c r="K137" s="202"/>
      <c r="L137" s="197"/>
      <c r="M137" s="197"/>
      <c r="N137" s="203"/>
      <c r="O137" s="203"/>
      <c r="P137" s="203"/>
      <c r="Q137" s="203"/>
      <c r="R137" s="203"/>
      <c r="S137" s="204"/>
      <c r="T137" s="422"/>
      <c r="U137" s="422"/>
      <c r="V137" s="422"/>
      <c r="W137" s="139"/>
      <c r="X137" s="139"/>
      <c r="Y137" s="422"/>
      <c r="Z137" s="422" t="s">
        <v>145</v>
      </c>
      <c r="AA137" s="422" t="s">
        <v>600</v>
      </c>
      <c r="AB137" s="422" t="s">
        <v>11</v>
      </c>
      <c r="AC137" s="139">
        <v>1.5569999999999999</v>
      </c>
      <c r="AD137" s="139" t="s">
        <v>5</v>
      </c>
      <c r="AE137" s="569">
        <f>AC137*7855.459</f>
        <v>12230.949662999999</v>
      </c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</row>
    <row r="138" spans="1:44" s="201" customFormat="1" x14ac:dyDescent="0.2">
      <c r="A138" s="421"/>
      <c r="B138" s="597"/>
      <c r="C138" s="599"/>
      <c r="D138" s="423"/>
      <c r="E138" s="536"/>
      <c r="F138" s="423"/>
      <c r="G138" s="536"/>
      <c r="H138" s="203"/>
      <c r="I138" s="203"/>
      <c r="J138" s="203"/>
      <c r="K138" s="202"/>
      <c r="L138" s="197"/>
      <c r="M138" s="197"/>
      <c r="N138" s="203"/>
      <c r="O138" s="203"/>
      <c r="P138" s="203"/>
      <c r="Q138" s="203"/>
      <c r="R138" s="203"/>
      <c r="S138" s="204"/>
      <c r="T138" s="600"/>
      <c r="U138" s="600"/>
      <c r="V138" s="600"/>
      <c r="W138" s="139"/>
      <c r="X138" s="139"/>
      <c r="Y138" s="423"/>
      <c r="Z138" s="600"/>
      <c r="AA138" s="600"/>
      <c r="AB138" s="600"/>
      <c r="AC138" s="139">
        <v>10899</v>
      </c>
      <c r="AD138" s="139" t="s">
        <v>599</v>
      </c>
      <c r="AE138" s="570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</row>
    <row r="139" spans="1:44" s="201" customFormat="1" x14ac:dyDescent="0.2">
      <c r="A139" s="420">
        <v>65</v>
      </c>
      <c r="B139" s="596">
        <v>2447391</v>
      </c>
      <c r="C139" s="598" t="s">
        <v>377</v>
      </c>
      <c r="D139" s="422">
        <v>1.31</v>
      </c>
      <c r="E139" s="535">
        <f t="shared" ref="E139" si="106">D139*7000</f>
        <v>9170</v>
      </c>
      <c r="F139" s="422">
        <v>1.31</v>
      </c>
      <c r="G139" s="535">
        <f t="shared" ref="G139" si="107">F139*7000</f>
        <v>9170</v>
      </c>
      <c r="H139" s="203"/>
      <c r="I139" s="203"/>
      <c r="J139" s="203"/>
      <c r="K139" s="202"/>
      <c r="L139" s="197"/>
      <c r="M139" s="197"/>
      <c r="N139" s="203"/>
      <c r="O139" s="203"/>
      <c r="P139" s="203"/>
      <c r="Q139" s="203"/>
      <c r="R139" s="203"/>
      <c r="S139" s="204"/>
      <c r="T139" s="204"/>
      <c r="U139" s="204"/>
      <c r="V139" s="204"/>
      <c r="W139" s="204"/>
      <c r="X139" s="204"/>
      <c r="Y139" s="204"/>
      <c r="Z139" s="422" t="s">
        <v>145</v>
      </c>
      <c r="AA139" s="422" t="s">
        <v>603</v>
      </c>
      <c r="AB139" s="422" t="s">
        <v>11</v>
      </c>
      <c r="AC139" s="139">
        <v>1.31</v>
      </c>
      <c r="AD139" s="139" t="s">
        <v>5</v>
      </c>
      <c r="AE139" s="569">
        <f>AC139*7855.459</f>
        <v>10290.65129</v>
      </c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</row>
    <row r="140" spans="1:44" s="201" customFormat="1" x14ac:dyDescent="0.2">
      <c r="A140" s="421"/>
      <c r="B140" s="597"/>
      <c r="C140" s="599"/>
      <c r="D140" s="423"/>
      <c r="E140" s="536"/>
      <c r="F140" s="423"/>
      <c r="G140" s="536"/>
      <c r="H140" s="203"/>
      <c r="I140" s="203"/>
      <c r="J140" s="203"/>
      <c r="K140" s="202"/>
      <c r="L140" s="197"/>
      <c r="M140" s="197"/>
      <c r="N140" s="203"/>
      <c r="O140" s="203"/>
      <c r="P140" s="203"/>
      <c r="Q140" s="203"/>
      <c r="R140" s="203"/>
      <c r="S140" s="204"/>
      <c r="T140" s="204"/>
      <c r="U140" s="204"/>
      <c r="V140" s="204"/>
      <c r="W140" s="204"/>
      <c r="X140" s="204"/>
      <c r="Y140" s="204"/>
      <c r="Z140" s="423"/>
      <c r="AA140" s="423"/>
      <c r="AB140" s="423"/>
      <c r="AC140" s="139">
        <v>9170</v>
      </c>
      <c r="AD140" s="139" t="s">
        <v>8</v>
      </c>
      <c r="AE140" s="570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</row>
    <row r="141" spans="1:44" s="201" customFormat="1" x14ac:dyDescent="0.2">
      <c r="A141" s="420">
        <v>66</v>
      </c>
      <c r="B141" s="596"/>
      <c r="C141" s="603" t="s">
        <v>604</v>
      </c>
      <c r="D141" s="422">
        <v>1.3</v>
      </c>
      <c r="E141" s="535">
        <f t="shared" ref="E141" si="108">D141*7000</f>
        <v>9100</v>
      </c>
      <c r="F141" s="422">
        <v>1.3</v>
      </c>
      <c r="G141" s="535">
        <f t="shared" ref="G141" si="109">F141*7000</f>
        <v>9100</v>
      </c>
      <c r="H141" s="203"/>
      <c r="I141" s="203"/>
      <c r="J141" s="203"/>
      <c r="K141" s="202"/>
      <c r="L141" s="197"/>
      <c r="M141" s="197"/>
      <c r="N141" s="203"/>
      <c r="O141" s="203"/>
      <c r="P141" s="203"/>
      <c r="Q141" s="203"/>
      <c r="R141" s="203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422" t="s">
        <v>145</v>
      </c>
      <c r="AG141" s="422" t="s">
        <v>605</v>
      </c>
      <c r="AH141" s="422" t="s">
        <v>11</v>
      </c>
      <c r="AI141" s="139">
        <v>1.3</v>
      </c>
      <c r="AJ141" s="139" t="s">
        <v>5</v>
      </c>
      <c r="AK141" s="422">
        <f>AI141*8417.508</f>
        <v>10942.760400000001</v>
      </c>
      <c r="AL141" s="204"/>
      <c r="AM141" s="204"/>
      <c r="AN141" s="204"/>
      <c r="AO141" s="204"/>
      <c r="AP141" s="204"/>
      <c r="AQ141" s="204"/>
      <c r="AR141" s="204"/>
    </row>
    <row r="142" spans="1:44" s="201" customFormat="1" ht="30" customHeight="1" x14ac:dyDescent="0.2">
      <c r="A142" s="421"/>
      <c r="B142" s="597"/>
      <c r="C142" s="604"/>
      <c r="D142" s="423"/>
      <c r="E142" s="536"/>
      <c r="F142" s="423"/>
      <c r="G142" s="536"/>
      <c r="H142" s="203"/>
      <c r="I142" s="203"/>
      <c r="J142" s="203"/>
      <c r="K142" s="202"/>
      <c r="L142" s="197"/>
      <c r="M142" s="197"/>
      <c r="N142" s="203"/>
      <c r="O142" s="203"/>
      <c r="P142" s="203"/>
      <c r="Q142" s="203"/>
      <c r="R142" s="203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423"/>
      <c r="AG142" s="423"/>
      <c r="AH142" s="423"/>
      <c r="AI142" s="139">
        <v>9100</v>
      </c>
      <c r="AJ142" s="139" t="s">
        <v>8</v>
      </c>
      <c r="AK142" s="423"/>
      <c r="AL142" s="204"/>
      <c r="AM142" s="204"/>
      <c r="AN142" s="204"/>
      <c r="AO142" s="204"/>
      <c r="AP142" s="204"/>
      <c r="AQ142" s="204"/>
      <c r="AR142" s="204"/>
    </row>
    <row r="143" spans="1:44" s="201" customFormat="1" x14ac:dyDescent="0.2">
      <c r="A143" s="420">
        <v>67</v>
      </c>
      <c r="B143" s="596">
        <v>2447621</v>
      </c>
      <c r="C143" s="601" t="s">
        <v>607</v>
      </c>
      <c r="D143" s="533">
        <v>0.95399999999999996</v>
      </c>
      <c r="E143" s="535">
        <f t="shared" ref="E143" si="110">D143*7000</f>
        <v>6678</v>
      </c>
      <c r="F143" s="533">
        <v>0.95399999999999996</v>
      </c>
      <c r="G143" s="535">
        <f t="shared" ref="G143" si="111">F143*7000</f>
        <v>6678</v>
      </c>
      <c r="H143" s="203"/>
      <c r="I143" s="203"/>
      <c r="J143" s="203"/>
      <c r="K143" s="202"/>
      <c r="L143" s="197"/>
      <c r="M143" s="197"/>
      <c r="N143" s="203"/>
      <c r="O143" s="203"/>
      <c r="P143" s="203"/>
      <c r="Q143" s="203"/>
      <c r="R143" s="203"/>
      <c r="S143" s="204"/>
      <c r="T143" s="204"/>
      <c r="U143" s="204"/>
      <c r="V143" s="204"/>
      <c r="W143" s="204"/>
      <c r="X143" s="204"/>
      <c r="Y143" s="204"/>
      <c r="Z143" s="205"/>
      <c r="AA143" s="205"/>
      <c r="AB143" s="205"/>
      <c r="AC143" s="204"/>
      <c r="AD143" s="204"/>
      <c r="AE143" s="204"/>
      <c r="AF143" s="422" t="s">
        <v>145</v>
      </c>
      <c r="AG143" s="422" t="s">
        <v>608</v>
      </c>
      <c r="AH143" s="422" t="s">
        <v>11</v>
      </c>
      <c r="AI143" s="139">
        <v>0.95399999999999996</v>
      </c>
      <c r="AJ143" s="139" t="s">
        <v>5</v>
      </c>
      <c r="AK143" s="422">
        <f t="shared" ref="AK143" si="112">AI143*8417.508</f>
        <v>8030.3026319999999</v>
      </c>
      <c r="AL143" s="204"/>
      <c r="AM143" s="204"/>
      <c r="AN143" s="204"/>
      <c r="AO143" s="204"/>
      <c r="AP143" s="204"/>
      <c r="AQ143" s="204"/>
      <c r="AR143" s="204"/>
    </row>
    <row r="144" spans="1:44" s="201" customFormat="1" x14ac:dyDescent="0.2">
      <c r="A144" s="421"/>
      <c r="B144" s="597"/>
      <c r="C144" s="602"/>
      <c r="D144" s="534"/>
      <c r="E144" s="536"/>
      <c r="F144" s="534"/>
      <c r="G144" s="536"/>
      <c r="H144" s="203"/>
      <c r="I144" s="203"/>
      <c r="J144" s="203"/>
      <c r="K144" s="202"/>
      <c r="L144" s="197"/>
      <c r="M144" s="197"/>
      <c r="N144" s="203"/>
      <c r="O144" s="203"/>
      <c r="P144" s="203"/>
      <c r="Q144" s="203"/>
      <c r="R144" s="203"/>
      <c r="S144" s="204"/>
      <c r="T144" s="204"/>
      <c r="U144" s="204"/>
      <c r="V144" s="204"/>
      <c r="W144" s="204"/>
      <c r="X144" s="204"/>
      <c r="Y144" s="204"/>
      <c r="Z144" s="206"/>
      <c r="AA144" s="206"/>
      <c r="AB144" s="206"/>
      <c r="AC144" s="204"/>
      <c r="AD144" s="204"/>
      <c r="AE144" s="204"/>
      <c r="AF144" s="423"/>
      <c r="AG144" s="423"/>
      <c r="AH144" s="423"/>
      <c r="AI144" s="139">
        <v>6678</v>
      </c>
      <c r="AJ144" s="139" t="s">
        <v>8</v>
      </c>
      <c r="AK144" s="423"/>
      <c r="AL144" s="204"/>
      <c r="AM144" s="204"/>
      <c r="AN144" s="204"/>
      <c r="AO144" s="204"/>
      <c r="AP144" s="204"/>
      <c r="AQ144" s="204"/>
      <c r="AR144" s="204"/>
    </row>
    <row r="145" spans="1:45" s="201" customFormat="1" x14ac:dyDescent="0.2">
      <c r="A145" s="420">
        <v>68</v>
      </c>
      <c r="B145" s="596">
        <v>2448488</v>
      </c>
      <c r="C145" s="598" t="s">
        <v>496</v>
      </c>
      <c r="D145" s="422">
        <v>0.78</v>
      </c>
      <c r="E145" s="535">
        <f t="shared" ref="E145" si="113">D145*7000</f>
        <v>5460</v>
      </c>
      <c r="F145" s="422">
        <v>0.78</v>
      </c>
      <c r="G145" s="535">
        <f t="shared" ref="G145" si="114">F145*7000</f>
        <v>5460</v>
      </c>
      <c r="H145" s="203"/>
      <c r="I145" s="203"/>
      <c r="J145" s="203"/>
      <c r="K145" s="202"/>
      <c r="L145" s="197"/>
      <c r="M145" s="197"/>
      <c r="N145" s="203"/>
      <c r="O145" s="203"/>
      <c r="P145" s="203"/>
      <c r="Q145" s="203"/>
      <c r="R145" s="203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422" t="s">
        <v>145</v>
      </c>
      <c r="AG145" s="422" t="s">
        <v>611</v>
      </c>
      <c r="AH145" s="422" t="s">
        <v>11</v>
      </c>
      <c r="AI145" s="139">
        <v>0.78</v>
      </c>
      <c r="AJ145" s="139" t="s">
        <v>5</v>
      </c>
      <c r="AK145" s="422">
        <f t="shared" ref="AK145" si="115">AI145*8417.508</f>
        <v>6565.6562400000003</v>
      </c>
      <c r="AL145" s="204"/>
      <c r="AM145" s="204"/>
      <c r="AN145" s="204"/>
      <c r="AO145" s="204"/>
      <c r="AP145" s="204"/>
      <c r="AQ145" s="204"/>
      <c r="AR145" s="204"/>
    </row>
    <row r="146" spans="1:45" s="201" customFormat="1" x14ac:dyDescent="0.2">
      <c r="A146" s="421"/>
      <c r="B146" s="597"/>
      <c r="C146" s="599"/>
      <c r="D146" s="423"/>
      <c r="E146" s="536"/>
      <c r="F146" s="423"/>
      <c r="G146" s="536"/>
      <c r="H146" s="203"/>
      <c r="I146" s="203"/>
      <c r="J146" s="203"/>
      <c r="K146" s="202"/>
      <c r="L146" s="197"/>
      <c r="M146" s="197"/>
      <c r="N146" s="203"/>
      <c r="O146" s="203"/>
      <c r="P146" s="203"/>
      <c r="Q146" s="203"/>
      <c r="R146" s="203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423"/>
      <c r="AG146" s="423"/>
      <c r="AH146" s="423"/>
      <c r="AI146" s="139">
        <v>5460</v>
      </c>
      <c r="AJ146" s="139" t="s">
        <v>8</v>
      </c>
      <c r="AK146" s="423"/>
      <c r="AL146" s="204"/>
      <c r="AM146" s="204"/>
      <c r="AN146" s="204"/>
      <c r="AO146" s="204"/>
      <c r="AP146" s="204"/>
      <c r="AQ146" s="204"/>
      <c r="AR146" s="204"/>
    </row>
    <row r="147" spans="1:45" s="201" customFormat="1" x14ac:dyDescent="0.2">
      <c r="A147" s="420">
        <v>69</v>
      </c>
      <c r="B147" s="541" t="s">
        <v>507</v>
      </c>
      <c r="C147" s="601" t="s">
        <v>606</v>
      </c>
      <c r="D147" s="533">
        <v>1.3</v>
      </c>
      <c r="E147" s="535">
        <f t="shared" ref="E147" si="116">D147*7000</f>
        <v>9100</v>
      </c>
      <c r="F147" s="533">
        <v>1.3</v>
      </c>
      <c r="G147" s="535">
        <f t="shared" ref="G147" si="117">F147*7000</f>
        <v>9100</v>
      </c>
      <c r="H147" s="203"/>
      <c r="I147" s="203"/>
      <c r="J147" s="203"/>
      <c r="K147" s="202"/>
      <c r="L147" s="197"/>
      <c r="M147" s="197"/>
      <c r="N147" s="203"/>
      <c r="O147" s="203"/>
      <c r="P147" s="203"/>
      <c r="Q147" s="203"/>
      <c r="R147" s="203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422"/>
      <c r="AG147" s="422"/>
      <c r="AH147" s="422"/>
      <c r="AI147" s="139"/>
      <c r="AJ147" s="139"/>
      <c r="AK147" s="422"/>
      <c r="AL147" s="422" t="s">
        <v>145</v>
      </c>
      <c r="AM147" s="422" t="s">
        <v>605</v>
      </c>
      <c r="AN147" s="422" t="s">
        <v>11</v>
      </c>
      <c r="AO147" s="139">
        <v>1.3</v>
      </c>
      <c r="AP147" s="139" t="s">
        <v>5</v>
      </c>
      <c r="AQ147" s="422">
        <f>AO147*8303.349</f>
        <v>10794.353700000001</v>
      </c>
      <c r="AR147" s="204"/>
    </row>
    <row r="148" spans="1:45" s="201" customFormat="1" x14ac:dyDescent="0.2">
      <c r="A148" s="421"/>
      <c r="B148" s="542"/>
      <c r="C148" s="602"/>
      <c r="D148" s="534"/>
      <c r="E148" s="536"/>
      <c r="F148" s="534"/>
      <c r="G148" s="536"/>
      <c r="H148" s="203"/>
      <c r="I148" s="203"/>
      <c r="J148" s="203"/>
      <c r="K148" s="202"/>
      <c r="L148" s="197"/>
      <c r="M148" s="197"/>
      <c r="N148" s="203"/>
      <c r="O148" s="203"/>
      <c r="P148" s="203"/>
      <c r="Q148" s="203"/>
      <c r="R148" s="203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423"/>
      <c r="AG148" s="423"/>
      <c r="AH148" s="423"/>
      <c r="AI148" s="139"/>
      <c r="AJ148" s="139"/>
      <c r="AK148" s="423"/>
      <c r="AL148" s="423"/>
      <c r="AM148" s="423"/>
      <c r="AN148" s="423"/>
      <c r="AO148" s="139">
        <v>9100</v>
      </c>
      <c r="AP148" s="139" t="s">
        <v>6</v>
      </c>
      <c r="AQ148" s="423"/>
      <c r="AR148" s="204"/>
    </row>
    <row r="149" spans="1:45" s="201" customFormat="1" x14ac:dyDescent="0.2">
      <c r="A149" s="420">
        <v>70</v>
      </c>
      <c r="B149" s="541" t="s">
        <v>501</v>
      </c>
      <c r="C149" s="601" t="s">
        <v>609</v>
      </c>
      <c r="D149" s="533">
        <v>0.76300000000000001</v>
      </c>
      <c r="E149" s="535">
        <f t="shared" ref="E149" si="118">D149*7000</f>
        <v>5341</v>
      </c>
      <c r="F149" s="533">
        <v>0.76300000000000001</v>
      </c>
      <c r="G149" s="535">
        <f t="shared" ref="G149" si="119">F149*7000</f>
        <v>5341</v>
      </c>
      <c r="H149" s="203"/>
      <c r="I149" s="203"/>
      <c r="J149" s="203"/>
      <c r="K149" s="202"/>
      <c r="L149" s="197"/>
      <c r="M149" s="197"/>
      <c r="N149" s="203"/>
      <c r="O149" s="203"/>
      <c r="P149" s="203"/>
      <c r="Q149" s="203"/>
      <c r="R149" s="203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422"/>
      <c r="AG149" s="422"/>
      <c r="AH149" s="422"/>
      <c r="AI149" s="139"/>
      <c r="AJ149" s="139"/>
      <c r="AK149" s="422"/>
      <c r="AL149" s="422" t="s">
        <v>145</v>
      </c>
      <c r="AM149" s="422" t="s">
        <v>610</v>
      </c>
      <c r="AN149" s="422" t="s">
        <v>11</v>
      </c>
      <c r="AO149" s="139">
        <v>0.76300000000000001</v>
      </c>
      <c r="AP149" s="139" t="s">
        <v>5</v>
      </c>
      <c r="AQ149" s="422">
        <f t="shared" ref="AQ149" si="120">AO149*8303.349</f>
        <v>6335.4552869999998</v>
      </c>
      <c r="AR149" s="204"/>
    </row>
    <row r="150" spans="1:45" s="201" customFormat="1" x14ac:dyDescent="0.2">
      <c r="A150" s="421"/>
      <c r="B150" s="542"/>
      <c r="C150" s="602"/>
      <c r="D150" s="534"/>
      <c r="E150" s="536"/>
      <c r="F150" s="534"/>
      <c r="G150" s="536"/>
      <c r="H150" s="203"/>
      <c r="I150" s="203"/>
      <c r="J150" s="203"/>
      <c r="K150" s="202"/>
      <c r="L150" s="197"/>
      <c r="M150" s="197"/>
      <c r="N150" s="203"/>
      <c r="O150" s="203"/>
      <c r="P150" s="203"/>
      <c r="Q150" s="203"/>
      <c r="R150" s="203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423"/>
      <c r="AG150" s="423"/>
      <c r="AH150" s="423"/>
      <c r="AI150" s="139"/>
      <c r="AJ150" s="139"/>
      <c r="AK150" s="423"/>
      <c r="AL150" s="423"/>
      <c r="AM150" s="423"/>
      <c r="AN150" s="423"/>
      <c r="AO150" s="139">
        <v>5341</v>
      </c>
      <c r="AP150" s="139" t="s">
        <v>8</v>
      </c>
      <c r="AQ150" s="423"/>
      <c r="AR150" s="204"/>
    </row>
    <row r="151" spans="1:45" s="201" customFormat="1" x14ac:dyDescent="0.2">
      <c r="A151" s="420">
        <v>71</v>
      </c>
      <c r="B151" s="596" t="s">
        <v>490</v>
      </c>
      <c r="C151" s="601" t="s">
        <v>613</v>
      </c>
      <c r="D151" s="533">
        <v>1.21</v>
      </c>
      <c r="E151" s="535">
        <f t="shared" ref="E151" si="121">D151*7000</f>
        <v>8470</v>
      </c>
      <c r="F151" s="533">
        <v>1.21</v>
      </c>
      <c r="G151" s="535">
        <f t="shared" ref="G151" si="122">F151*7000</f>
        <v>8470</v>
      </c>
      <c r="H151" s="202"/>
      <c r="I151" s="197"/>
      <c r="J151" s="197"/>
      <c r="K151" s="202"/>
      <c r="L151" s="197"/>
      <c r="M151" s="197"/>
      <c r="N151" s="203"/>
      <c r="O151" s="203"/>
      <c r="P151" s="203"/>
      <c r="Q151" s="203"/>
      <c r="R151" s="203"/>
      <c r="S151" s="204"/>
      <c r="T151" s="204"/>
      <c r="U151" s="204"/>
      <c r="V151" s="204"/>
      <c r="W151" s="204"/>
      <c r="X151" s="204"/>
      <c r="Y151" s="204"/>
      <c r="Z151" s="205"/>
      <c r="AA151" s="205"/>
      <c r="AB151" s="205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422" t="s">
        <v>145</v>
      </c>
      <c r="AM151" s="422" t="s">
        <v>614</v>
      </c>
      <c r="AN151" s="422" t="s">
        <v>11</v>
      </c>
      <c r="AO151" s="139">
        <v>1.21</v>
      </c>
      <c r="AP151" s="139" t="s">
        <v>5</v>
      </c>
      <c r="AQ151" s="422">
        <f t="shared" ref="AQ151" si="123">AO151*8303.349</f>
        <v>10047.05229</v>
      </c>
      <c r="AR151" s="204"/>
    </row>
    <row r="152" spans="1:45" s="201" customFormat="1" x14ac:dyDescent="0.2">
      <c r="A152" s="421"/>
      <c r="B152" s="597"/>
      <c r="C152" s="602"/>
      <c r="D152" s="534"/>
      <c r="E152" s="536"/>
      <c r="F152" s="534"/>
      <c r="G152" s="536"/>
      <c r="H152" s="202"/>
      <c r="I152" s="197"/>
      <c r="J152" s="197"/>
      <c r="K152" s="202"/>
      <c r="L152" s="197"/>
      <c r="M152" s="197"/>
      <c r="N152" s="203"/>
      <c r="O152" s="203"/>
      <c r="P152" s="203"/>
      <c r="Q152" s="203"/>
      <c r="R152" s="203"/>
      <c r="S152" s="204"/>
      <c r="T152" s="204"/>
      <c r="U152" s="204"/>
      <c r="V152" s="204"/>
      <c r="W152" s="204"/>
      <c r="X152" s="204"/>
      <c r="Y152" s="204"/>
      <c r="Z152" s="206"/>
      <c r="AA152" s="206"/>
      <c r="AB152" s="206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423"/>
      <c r="AM152" s="423"/>
      <c r="AN152" s="423"/>
      <c r="AO152" s="139">
        <v>8470</v>
      </c>
      <c r="AP152" s="139" t="s">
        <v>8</v>
      </c>
      <c r="AQ152" s="423"/>
      <c r="AR152" s="204"/>
    </row>
    <row r="153" spans="1:45" s="201" customFormat="1" ht="15" customHeight="1" x14ac:dyDescent="0.2">
      <c r="A153" s="605" t="s">
        <v>617</v>
      </c>
      <c r="B153" s="606"/>
      <c r="C153" s="607"/>
      <c r="D153" s="207"/>
      <c r="E153" s="207"/>
      <c r="F153" s="207"/>
      <c r="G153" s="207"/>
      <c r="H153" s="203"/>
      <c r="I153" s="203"/>
      <c r="J153" s="208"/>
      <c r="K153" s="261">
        <f>K154+K156+K158+K160+K162+K164+K166+K168+K170+K172+K174</f>
        <v>1.016</v>
      </c>
      <c r="L153" s="203"/>
      <c r="M153" s="259">
        <f>M154+M156+M158+M160+M162+M164+M166+M168+M170+M172+M174</f>
        <v>7459.6342400000003</v>
      </c>
      <c r="N153" s="203"/>
      <c r="O153" s="203"/>
      <c r="P153" s="203"/>
      <c r="Q153" s="261">
        <f>Q154+Q156+Q158+Q160+Q162+Q164+Q166+Q168+Q170+Q172+Q174</f>
        <v>1.2050000000000001</v>
      </c>
      <c r="R153" s="203"/>
      <c r="S153" s="259">
        <f>S154+S156+S158+S160+S162+S164+S166+S168+S170+S172+S174</f>
        <v>8244.0135250000003</v>
      </c>
      <c r="T153" s="204"/>
      <c r="U153" s="204"/>
      <c r="V153" s="204"/>
      <c r="W153" s="261">
        <f>W154+W156+W158+W160+W162+W164+W166+W168+W170+W172+W174</f>
        <v>1.1499999999999999</v>
      </c>
      <c r="X153" s="203"/>
      <c r="Y153" s="259">
        <f>Y154+Y156+Y158+Y160+Y162+Y164+Y166+Y168+Y170+Y172+Y174</f>
        <v>8025.0923999999995</v>
      </c>
      <c r="Z153" s="204"/>
      <c r="AA153" s="204"/>
      <c r="AB153" s="204"/>
      <c r="AC153" s="261">
        <f>AC154+AC156+AC158+AC160+AC162+AC164+AC166+AC168+AC170+AC172+AC174</f>
        <v>0.95199999999999996</v>
      </c>
      <c r="AD153" s="203"/>
      <c r="AE153" s="259">
        <f>AE154+AE156+AE158+AE160+AE162+AE164+AE166+AE168+AE170+AE172+AE174</f>
        <v>7478.396968</v>
      </c>
      <c r="AF153" s="204"/>
      <c r="AG153" s="204"/>
      <c r="AH153" s="204"/>
      <c r="AI153" s="261">
        <f>AI154+AI156+AI158+AI160+AI162+AI164+AI166+AI168+AI170+AI172+AI174</f>
        <v>0.53</v>
      </c>
      <c r="AJ153" s="203"/>
      <c r="AK153" s="259">
        <f>AK154+AK156+AK158+AK160+AK162+AK164+AK166+AK168+AK170+AK172+AK174</f>
        <v>4461.2792399999998</v>
      </c>
      <c r="AL153" s="204"/>
      <c r="AM153" s="204"/>
      <c r="AN153" s="204"/>
      <c r="AO153" s="261">
        <f>AO154+AO156+AO158+AO160+AO162+AO164+AO166+AO168+AO170+AO172+AO174</f>
        <v>0.64</v>
      </c>
      <c r="AP153" s="203"/>
      <c r="AQ153" s="259">
        <f>AQ154+AQ156+AQ158+AQ160+AQ162+AQ164+AQ166+AQ168+AQ170+AQ172+AQ174</f>
        <v>2823.1386600000001</v>
      </c>
      <c r="AR153" s="204"/>
      <c r="AS153" s="180">
        <f>K153+Q153+W153+AC153+AI153+AO153</f>
        <v>5.4930000000000003</v>
      </c>
    </row>
    <row r="154" spans="1:45" s="201" customFormat="1" ht="15" customHeight="1" x14ac:dyDescent="0.2">
      <c r="A154" s="420">
        <v>72</v>
      </c>
      <c r="B154" s="541">
        <v>2448481</v>
      </c>
      <c r="C154" s="529" t="s">
        <v>162</v>
      </c>
      <c r="D154" s="533">
        <v>1.56</v>
      </c>
      <c r="E154" s="535">
        <f t="shared" ref="E154" si="124">D154*7000</f>
        <v>10920</v>
      </c>
      <c r="F154" s="533">
        <v>1.56</v>
      </c>
      <c r="G154" s="535">
        <f t="shared" ref="G154" si="125">F154*7000</f>
        <v>10920</v>
      </c>
      <c r="H154" s="569" t="s">
        <v>145</v>
      </c>
      <c r="I154" s="569" t="s">
        <v>165</v>
      </c>
      <c r="J154" s="539" t="s">
        <v>11</v>
      </c>
      <c r="K154" s="202">
        <v>0.47399999999999998</v>
      </c>
      <c r="L154" s="197" t="s">
        <v>5</v>
      </c>
      <c r="M154" s="569">
        <f>K154*7342.14+0.02</f>
        <v>3480.19436</v>
      </c>
      <c r="N154" s="203"/>
      <c r="O154" s="203"/>
      <c r="P154" s="203"/>
      <c r="Q154" s="203"/>
      <c r="R154" s="203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</row>
    <row r="155" spans="1:45" s="201" customFormat="1" x14ac:dyDescent="0.2">
      <c r="A155" s="421"/>
      <c r="B155" s="542"/>
      <c r="C155" s="530"/>
      <c r="D155" s="534"/>
      <c r="E155" s="536"/>
      <c r="F155" s="534"/>
      <c r="G155" s="536"/>
      <c r="H155" s="570"/>
      <c r="I155" s="570"/>
      <c r="J155" s="540"/>
      <c r="K155" s="202">
        <f>K154*7000</f>
        <v>3318</v>
      </c>
      <c r="L155" s="197" t="s">
        <v>8</v>
      </c>
      <c r="M155" s="570"/>
      <c r="N155" s="203"/>
      <c r="O155" s="203"/>
      <c r="P155" s="203"/>
      <c r="Q155" s="203"/>
      <c r="R155" s="203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</row>
    <row r="156" spans="1:45" s="201" customFormat="1" ht="15" customHeight="1" x14ac:dyDescent="0.2">
      <c r="A156" s="420">
        <v>73</v>
      </c>
      <c r="B156" s="432">
        <v>2447930</v>
      </c>
      <c r="C156" s="529" t="s">
        <v>163</v>
      </c>
      <c r="D156" s="533">
        <v>0.54200000000000004</v>
      </c>
      <c r="E156" s="535">
        <f t="shared" ref="E156" si="126">D156*7000</f>
        <v>3794.0000000000005</v>
      </c>
      <c r="F156" s="533">
        <v>0.54200000000000004</v>
      </c>
      <c r="G156" s="535">
        <f t="shared" ref="G156" si="127">F156*7000</f>
        <v>3794.0000000000005</v>
      </c>
      <c r="H156" s="569" t="s">
        <v>145</v>
      </c>
      <c r="I156" s="569" t="s">
        <v>164</v>
      </c>
      <c r="J156" s="539" t="s">
        <v>11</v>
      </c>
      <c r="K156" s="202">
        <v>0.54200000000000004</v>
      </c>
      <c r="L156" s="197" t="s">
        <v>5</v>
      </c>
      <c r="M156" s="569">
        <f>K156*7342.14</f>
        <v>3979.4398800000004</v>
      </c>
      <c r="N156" s="203"/>
      <c r="O156" s="203"/>
      <c r="P156" s="203"/>
      <c r="Q156" s="203"/>
      <c r="R156" s="203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</row>
    <row r="157" spans="1:45" s="201" customFormat="1" x14ac:dyDescent="0.2">
      <c r="A157" s="421"/>
      <c r="B157" s="433"/>
      <c r="C157" s="530"/>
      <c r="D157" s="534"/>
      <c r="E157" s="536"/>
      <c r="F157" s="534"/>
      <c r="G157" s="536"/>
      <c r="H157" s="570"/>
      <c r="I157" s="570"/>
      <c r="J157" s="540"/>
      <c r="K157" s="202">
        <f>K156*7000</f>
        <v>3794.0000000000005</v>
      </c>
      <c r="L157" s="197" t="s">
        <v>8</v>
      </c>
      <c r="M157" s="570"/>
      <c r="N157" s="203"/>
      <c r="O157" s="203"/>
      <c r="P157" s="203"/>
      <c r="Q157" s="203"/>
      <c r="R157" s="203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</row>
    <row r="158" spans="1:45" s="201" customFormat="1" x14ac:dyDescent="0.2">
      <c r="A158" s="420">
        <v>74</v>
      </c>
      <c r="B158" s="432" t="s">
        <v>520</v>
      </c>
      <c r="C158" s="545" t="s">
        <v>386</v>
      </c>
      <c r="D158" s="422">
        <v>3.64</v>
      </c>
      <c r="E158" s="535">
        <v>25480</v>
      </c>
      <c r="F158" s="422">
        <v>3.64</v>
      </c>
      <c r="G158" s="535">
        <v>25480</v>
      </c>
      <c r="H158" s="202"/>
      <c r="I158" s="197"/>
      <c r="J158" s="197"/>
      <c r="K158" s="197"/>
      <c r="L158" s="197"/>
      <c r="N158" s="569" t="s">
        <v>145</v>
      </c>
      <c r="O158" s="569" t="s">
        <v>602</v>
      </c>
      <c r="P158" s="594" t="s">
        <v>11</v>
      </c>
      <c r="Q158" s="197">
        <v>0.55000000000000004</v>
      </c>
      <c r="R158" s="197" t="s">
        <v>5</v>
      </c>
      <c r="S158" s="569">
        <f t="shared" ref="S158:S160" si="128">Q158*6841.505</f>
        <v>3762.8277500000004</v>
      </c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</row>
    <row r="159" spans="1:45" s="201" customFormat="1" x14ac:dyDescent="0.2">
      <c r="A159" s="421"/>
      <c r="B159" s="433" t="s">
        <v>520</v>
      </c>
      <c r="C159" s="546" t="s">
        <v>386</v>
      </c>
      <c r="D159" s="423"/>
      <c r="E159" s="536"/>
      <c r="F159" s="423"/>
      <c r="G159" s="536"/>
      <c r="H159" s="202"/>
      <c r="I159" s="197"/>
      <c r="J159" s="197"/>
      <c r="K159" s="197"/>
      <c r="L159" s="197"/>
      <c r="M159" s="197"/>
      <c r="N159" s="570"/>
      <c r="O159" s="570"/>
      <c r="P159" s="595"/>
      <c r="Q159" s="197">
        <v>3850</v>
      </c>
      <c r="R159" s="197" t="s">
        <v>8</v>
      </c>
      <c r="S159" s="570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</row>
    <row r="160" spans="1:45" s="201" customFormat="1" x14ac:dyDescent="0.2">
      <c r="A160" s="420">
        <v>75</v>
      </c>
      <c r="B160" s="432" t="s">
        <v>526</v>
      </c>
      <c r="C160" s="592" t="s">
        <v>435</v>
      </c>
      <c r="D160" s="533">
        <v>0.76</v>
      </c>
      <c r="E160" s="535">
        <v>5320</v>
      </c>
      <c r="F160" s="533">
        <v>0.76</v>
      </c>
      <c r="G160" s="535">
        <v>5320</v>
      </c>
      <c r="H160" s="202"/>
      <c r="I160" s="197"/>
      <c r="J160" s="197"/>
      <c r="K160" s="202"/>
      <c r="L160" s="197"/>
      <c r="M160" s="197"/>
      <c r="N160" s="569" t="s">
        <v>145</v>
      </c>
      <c r="O160" s="569" t="s">
        <v>618</v>
      </c>
      <c r="P160" s="594" t="s">
        <v>11</v>
      </c>
      <c r="Q160" s="203">
        <v>0.65500000000000003</v>
      </c>
      <c r="R160" s="197" t="s">
        <v>5</v>
      </c>
      <c r="S160" s="569">
        <f t="shared" si="128"/>
        <v>4481.1857749999999</v>
      </c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</row>
    <row r="161" spans="1:44" s="201" customFormat="1" x14ac:dyDescent="0.2">
      <c r="A161" s="421"/>
      <c r="B161" s="433" t="s">
        <v>526</v>
      </c>
      <c r="C161" s="593" t="s">
        <v>435</v>
      </c>
      <c r="D161" s="534"/>
      <c r="E161" s="536"/>
      <c r="F161" s="534"/>
      <c r="G161" s="536"/>
      <c r="H161" s="202"/>
      <c r="I161" s="197"/>
      <c r="J161" s="197"/>
      <c r="K161" s="202"/>
      <c r="L161" s="197"/>
      <c r="M161" s="197"/>
      <c r="N161" s="570"/>
      <c r="O161" s="570"/>
      <c r="P161" s="595"/>
      <c r="Q161" s="203">
        <v>4620</v>
      </c>
      <c r="R161" s="197" t="s">
        <v>8</v>
      </c>
      <c r="S161" s="570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</row>
    <row r="162" spans="1:44" s="201" customFormat="1" ht="15" customHeight="1" x14ac:dyDescent="0.2">
      <c r="A162" s="420">
        <v>76</v>
      </c>
      <c r="B162" s="432" t="s">
        <v>518</v>
      </c>
      <c r="C162" s="545" t="s">
        <v>519</v>
      </c>
      <c r="D162" s="533">
        <v>0.77</v>
      </c>
      <c r="E162" s="535">
        <f t="shared" ref="E162" si="129">D162*7000</f>
        <v>5390</v>
      </c>
      <c r="F162" s="533">
        <v>0.77</v>
      </c>
      <c r="G162" s="535">
        <f t="shared" ref="G162" si="130">F162*7000</f>
        <v>5390</v>
      </c>
      <c r="H162" s="569"/>
      <c r="I162" s="569"/>
      <c r="J162" s="539"/>
      <c r="K162" s="202"/>
      <c r="L162" s="197"/>
      <c r="M162" s="569"/>
      <c r="N162" s="203"/>
      <c r="O162" s="203"/>
      <c r="P162" s="203"/>
      <c r="Q162" s="203"/>
      <c r="R162" s="203"/>
      <c r="S162" s="204"/>
      <c r="T162" s="569" t="s">
        <v>145</v>
      </c>
      <c r="U162" s="569" t="s">
        <v>536</v>
      </c>
      <c r="V162" s="539" t="s">
        <v>11</v>
      </c>
      <c r="W162" s="202">
        <v>0.63</v>
      </c>
      <c r="X162" s="197" t="s">
        <v>5</v>
      </c>
      <c r="Y162" s="569">
        <f>W162*6978.376-0.04</f>
        <v>4396.3368799999998</v>
      </c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</row>
    <row r="163" spans="1:44" s="201" customFormat="1" x14ac:dyDescent="0.2">
      <c r="A163" s="421"/>
      <c r="B163" s="433"/>
      <c r="C163" s="546"/>
      <c r="D163" s="534"/>
      <c r="E163" s="536"/>
      <c r="F163" s="534"/>
      <c r="G163" s="536"/>
      <c r="H163" s="570"/>
      <c r="I163" s="570"/>
      <c r="J163" s="540"/>
      <c r="K163" s="202"/>
      <c r="L163" s="197"/>
      <c r="M163" s="570"/>
      <c r="N163" s="203"/>
      <c r="O163" s="203"/>
      <c r="P163" s="203"/>
      <c r="Q163" s="203"/>
      <c r="R163" s="203"/>
      <c r="S163" s="204"/>
      <c r="T163" s="570"/>
      <c r="U163" s="570"/>
      <c r="V163" s="540"/>
      <c r="W163" s="202">
        <f>W162*7000</f>
        <v>4410</v>
      </c>
      <c r="X163" s="197" t="s">
        <v>8</v>
      </c>
      <c r="Y163" s="570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</row>
    <row r="164" spans="1:44" s="201" customFormat="1" ht="15" customHeight="1" x14ac:dyDescent="0.2">
      <c r="A164" s="420">
        <v>77</v>
      </c>
      <c r="B164" s="432" t="s">
        <v>530</v>
      </c>
      <c r="C164" s="545" t="s">
        <v>531</v>
      </c>
      <c r="D164" s="422">
        <v>1.04</v>
      </c>
      <c r="E164" s="535">
        <v>7280</v>
      </c>
      <c r="F164" s="422">
        <v>1.04</v>
      </c>
      <c r="G164" s="535">
        <v>7280</v>
      </c>
      <c r="H164" s="202"/>
      <c r="I164" s="197"/>
      <c r="J164" s="197"/>
      <c r="K164" s="202"/>
      <c r="L164" s="197"/>
      <c r="M164" s="197"/>
      <c r="N164" s="594"/>
      <c r="O164" s="594"/>
      <c r="P164" s="539"/>
      <c r="Q164" s="203"/>
      <c r="R164" s="203"/>
      <c r="S164" s="422"/>
      <c r="T164" s="594" t="s">
        <v>145</v>
      </c>
      <c r="U164" s="594" t="s">
        <v>620</v>
      </c>
      <c r="V164" s="539" t="s">
        <v>11</v>
      </c>
      <c r="W164" s="203">
        <v>0.52</v>
      </c>
      <c r="X164" s="203" t="s">
        <v>5</v>
      </c>
      <c r="Y164" s="569">
        <f t="shared" ref="Y164" si="131">W164*6978.376</f>
        <v>3628.7555200000002</v>
      </c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</row>
    <row r="165" spans="1:44" s="201" customFormat="1" ht="15" customHeight="1" x14ac:dyDescent="0.2">
      <c r="A165" s="421"/>
      <c r="B165" s="433" t="s">
        <v>530</v>
      </c>
      <c r="C165" s="546" t="s">
        <v>531</v>
      </c>
      <c r="D165" s="423"/>
      <c r="E165" s="536"/>
      <c r="F165" s="423"/>
      <c r="G165" s="536"/>
      <c r="H165" s="202"/>
      <c r="I165" s="197"/>
      <c r="J165" s="197"/>
      <c r="K165" s="202"/>
      <c r="L165" s="197"/>
      <c r="M165" s="197"/>
      <c r="N165" s="595"/>
      <c r="O165" s="595"/>
      <c r="P165" s="540"/>
      <c r="Q165" s="203"/>
      <c r="R165" s="203"/>
      <c r="S165" s="423"/>
      <c r="T165" s="595"/>
      <c r="U165" s="595"/>
      <c r="V165" s="540"/>
      <c r="W165" s="203">
        <v>7280</v>
      </c>
      <c r="X165" s="203" t="s">
        <v>8</v>
      </c>
      <c r="Y165" s="570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</row>
    <row r="166" spans="1:44" customFormat="1" x14ac:dyDescent="0.2">
      <c r="A166" s="420">
        <v>78</v>
      </c>
      <c r="B166" s="547" t="s">
        <v>527</v>
      </c>
      <c r="C166" s="616" t="s">
        <v>448</v>
      </c>
      <c r="D166" s="612">
        <v>0.49</v>
      </c>
      <c r="E166" s="518">
        <v>3430</v>
      </c>
      <c r="F166" s="612">
        <v>0.49</v>
      </c>
      <c r="G166" s="518">
        <v>3430</v>
      </c>
      <c r="H166" s="222"/>
      <c r="I166" s="141"/>
      <c r="J166" s="141"/>
      <c r="K166" s="222"/>
      <c r="L166" s="141"/>
      <c r="M166" s="141"/>
      <c r="N166" s="222"/>
      <c r="O166" s="141"/>
      <c r="P166" s="141"/>
      <c r="Q166" s="9"/>
      <c r="R166" s="9"/>
      <c r="S166" s="280"/>
      <c r="T166" s="577"/>
      <c r="U166" s="577"/>
      <c r="V166" s="614"/>
      <c r="W166" s="9"/>
      <c r="X166" s="141"/>
      <c r="Y166" s="490"/>
      <c r="Z166" s="577" t="s">
        <v>145</v>
      </c>
      <c r="AA166" s="577" t="s">
        <v>621</v>
      </c>
      <c r="AB166" s="614" t="s">
        <v>11</v>
      </c>
      <c r="AC166" s="9">
        <v>0.49</v>
      </c>
      <c r="AD166" s="141" t="s">
        <v>5</v>
      </c>
      <c r="AE166" s="569">
        <f>AC166*7855.459</f>
        <v>3849.1749099999997</v>
      </c>
      <c r="AF166" s="280"/>
      <c r="AG166" s="280"/>
      <c r="AH166" s="280"/>
      <c r="AI166" s="280"/>
      <c r="AJ166" s="280"/>
      <c r="AK166" s="280"/>
      <c r="AL166" s="280"/>
      <c r="AM166" s="280"/>
      <c r="AN166" s="280"/>
      <c r="AO166" s="280"/>
      <c r="AP166" s="280"/>
      <c r="AQ166" s="280"/>
      <c r="AR166" s="280"/>
    </row>
    <row r="167" spans="1:44" customFormat="1" x14ac:dyDescent="0.2">
      <c r="A167" s="421"/>
      <c r="B167" s="548"/>
      <c r="C167" s="617"/>
      <c r="D167" s="613"/>
      <c r="E167" s="519"/>
      <c r="F167" s="613"/>
      <c r="G167" s="519"/>
      <c r="H167" s="222"/>
      <c r="I167" s="141"/>
      <c r="J167" s="141"/>
      <c r="K167" s="222"/>
      <c r="L167" s="141"/>
      <c r="M167" s="141"/>
      <c r="N167" s="222"/>
      <c r="O167" s="141"/>
      <c r="P167" s="141"/>
      <c r="Q167" s="9"/>
      <c r="R167" s="9"/>
      <c r="S167" s="280"/>
      <c r="T167" s="578"/>
      <c r="U167" s="578"/>
      <c r="V167" s="615"/>
      <c r="W167" s="9"/>
      <c r="X167" s="141"/>
      <c r="Y167" s="491"/>
      <c r="Z167" s="578"/>
      <c r="AA167" s="578"/>
      <c r="AB167" s="615"/>
      <c r="AC167" s="9">
        <v>3430</v>
      </c>
      <c r="AD167" s="141" t="s">
        <v>8</v>
      </c>
      <c r="AE167" s="570"/>
      <c r="AF167" s="280"/>
      <c r="AG167" s="280"/>
      <c r="AH167" s="280"/>
      <c r="AI167" s="280"/>
      <c r="AJ167" s="280"/>
      <c r="AK167" s="280"/>
      <c r="AL167" s="280"/>
      <c r="AM167" s="280"/>
      <c r="AN167" s="280"/>
      <c r="AO167" s="280"/>
      <c r="AP167" s="280"/>
      <c r="AQ167" s="280"/>
      <c r="AR167" s="280"/>
    </row>
    <row r="168" spans="1:44" customFormat="1" x14ac:dyDescent="0.2">
      <c r="A168" s="420">
        <v>79</v>
      </c>
      <c r="B168" s="608" t="s">
        <v>523</v>
      </c>
      <c r="C168" s="610" t="s">
        <v>524</v>
      </c>
      <c r="D168" s="612">
        <v>1.6</v>
      </c>
      <c r="E168" s="518">
        <v>11200</v>
      </c>
      <c r="F168" s="612">
        <v>1.6</v>
      </c>
      <c r="G168" s="518">
        <v>11200</v>
      </c>
      <c r="H168" s="222"/>
      <c r="I168" s="141"/>
      <c r="J168" s="141"/>
      <c r="K168" s="222"/>
      <c r="L168" s="141"/>
      <c r="M168" s="141"/>
      <c r="N168" s="9"/>
      <c r="O168" s="9"/>
      <c r="P168" s="9"/>
      <c r="Q168" s="9"/>
      <c r="R168" s="9"/>
      <c r="S168" s="280"/>
      <c r="T168" s="9"/>
      <c r="U168" s="9"/>
      <c r="V168" s="9"/>
      <c r="W168" s="283"/>
      <c r="X168" s="283"/>
      <c r="Y168" s="280"/>
      <c r="Z168" s="490" t="s">
        <v>145</v>
      </c>
      <c r="AA168" s="490" t="s">
        <v>623</v>
      </c>
      <c r="AB168" s="490" t="s">
        <v>11</v>
      </c>
      <c r="AC168" s="283">
        <v>0.46200000000000002</v>
      </c>
      <c r="AD168" s="283" t="s">
        <v>5</v>
      </c>
      <c r="AE168" s="569">
        <f>AC168*7855.459</f>
        <v>3629.2220580000003</v>
      </c>
      <c r="AF168" s="280"/>
      <c r="AG168" s="280"/>
      <c r="AH168" s="280"/>
      <c r="AI168" s="280"/>
      <c r="AJ168" s="280"/>
      <c r="AK168" s="280"/>
      <c r="AL168" s="280"/>
      <c r="AM168" s="280"/>
      <c r="AN168" s="280"/>
      <c r="AO168" s="280"/>
      <c r="AP168" s="280"/>
      <c r="AQ168" s="280"/>
      <c r="AR168" s="280"/>
    </row>
    <row r="169" spans="1:44" customFormat="1" x14ac:dyDescent="0.2">
      <c r="A169" s="421"/>
      <c r="B169" s="609" t="s">
        <v>523</v>
      </c>
      <c r="C169" s="611" t="s">
        <v>524</v>
      </c>
      <c r="D169" s="613"/>
      <c r="E169" s="519"/>
      <c r="F169" s="613"/>
      <c r="G169" s="519"/>
      <c r="H169" s="222"/>
      <c r="I169" s="141"/>
      <c r="J169" s="141"/>
      <c r="K169" s="222"/>
      <c r="L169" s="141"/>
      <c r="M169" s="141"/>
      <c r="N169" s="9"/>
      <c r="O169" s="9"/>
      <c r="P169" s="9"/>
      <c r="Q169" s="9"/>
      <c r="R169" s="9"/>
      <c r="S169" s="280"/>
      <c r="T169" s="9"/>
      <c r="U169" s="9"/>
      <c r="V169" s="9"/>
      <c r="W169" s="283"/>
      <c r="X169" s="283"/>
      <c r="Y169" s="280"/>
      <c r="Z169" s="491"/>
      <c r="AA169" s="491"/>
      <c r="AB169" s="491"/>
      <c r="AC169" s="283">
        <v>3240</v>
      </c>
      <c r="AD169" s="283" t="s">
        <v>6</v>
      </c>
      <c r="AE169" s="570"/>
      <c r="AF169" s="280"/>
      <c r="AG169" s="280"/>
      <c r="AH169" s="280"/>
      <c r="AI169" s="280"/>
      <c r="AJ169" s="280"/>
      <c r="AK169" s="280"/>
      <c r="AL169" s="280"/>
      <c r="AM169" s="280"/>
      <c r="AN169" s="280"/>
      <c r="AO169" s="280"/>
      <c r="AP169" s="280"/>
      <c r="AQ169" s="280"/>
      <c r="AR169" s="280"/>
    </row>
    <row r="170" spans="1:44" customFormat="1" x14ac:dyDescent="0.2">
      <c r="A170" s="420">
        <v>80</v>
      </c>
      <c r="B170" s="543" t="s">
        <v>525</v>
      </c>
      <c r="C170" s="555" t="s">
        <v>430</v>
      </c>
      <c r="D170" s="516">
        <v>0.35</v>
      </c>
      <c r="E170" s="518">
        <v>2450</v>
      </c>
      <c r="F170" s="516">
        <v>0.35</v>
      </c>
      <c r="G170" s="518">
        <v>2450</v>
      </c>
      <c r="H170" s="222"/>
      <c r="I170" s="141"/>
      <c r="J170" s="141"/>
      <c r="K170" s="222"/>
      <c r="L170" s="141"/>
      <c r="M170" s="141"/>
      <c r="N170" s="9"/>
      <c r="O170" s="9"/>
      <c r="P170" s="9"/>
      <c r="Q170" s="9"/>
      <c r="R170" s="9"/>
      <c r="S170" s="280"/>
      <c r="T170" s="9"/>
      <c r="U170" s="9"/>
      <c r="V170" s="9"/>
      <c r="W170" s="283"/>
      <c r="X170" s="283"/>
      <c r="Y170" s="280"/>
      <c r="Z170" s="9"/>
      <c r="AA170" s="9"/>
      <c r="AB170" s="283"/>
      <c r="AC170" s="283"/>
      <c r="AD170" s="283"/>
      <c r="AE170" s="283"/>
      <c r="AF170" s="490" t="s">
        <v>145</v>
      </c>
      <c r="AG170" s="490" t="s">
        <v>624</v>
      </c>
      <c r="AH170" s="490" t="s">
        <v>11</v>
      </c>
      <c r="AI170" s="227">
        <v>0.35</v>
      </c>
      <c r="AJ170" s="283" t="s">
        <v>5</v>
      </c>
      <c r="AK170" s="422">
        <f>AI170*8417.508</f>
        <v>2946.1277999999998</v>
      </c>
      <c r="AL170" s="280"/>
      <c r="AM170" s="280"/>
      <c r="AN170" s="280"/>
      <c r="AO170" s="280"/>
      <c r="AP170" s="280"/>
      <c r="AQ170" s="280"/>
      <c r="AR170" s="280"/>
    </row>
    <row r="171" spans="1:44" customFormat="1" x14ac:dyDescent="0.2">
      <c r="A171" s="421"/>
      <c r="B171" s="544"/>
      <c r="C171" s="556"/>
      <c r="D171" s="517"/>
      <c r="E171" s="519"/>
      <c r="F171" s="517"/>
      <c r="G171" s="519"/>
      <c r="H171" s="222"/>
      <c r="I171" s="141"/>
      <c r="J171" s="141"/>
      <c r="K171" s="222"/>
      <c r="L171" s="141"/>
      <c r="M171" s="141"/>
      <c r="N171" s="9"/>
      <c r="O171" s="9"/>
      <c r="P171" s="9"/>
      <c r="Q171" s="9"/>
      <c r="R171" s="9"/>
      <c r="S171" s="280"/>
      <c r="T171" s="9"/>
      <c r="U171" s="9"/>
      <c r="V171" s="9"/>
      <c r="W171" s="283"/>
      <c r="X171" s="283"/>
      <c r="Y171" s="280"/>
      <c r="Z171" s="9"/>
      <c r="AA171" s="9"/>
      <c r="AB171" s="280"/>
      <c r="AC171" s="283"/>
      <c r="AD171" s="280"/>
      <c r="AE171" s="280"/>
      <c r="AF171" s="491"/>
      <c r="AG171" s="491"/>
      <c r="AH171" s="491"/>
      <c r="AI171" s="55">
        <v>2450</v>
      </c>
      <c r="AJ171" s="283" t="s">
        <v>6</v>
      </c>
      <c r="AK171" s="423"/>
      <c r="AL171" s="280"/>
      <c r="AM171" s="280"/>
      <c r="AN171" s="280"/>
      <c r="AO171" s="280"/>
      <c r="AP171" s="280"/>
      <c r="AQ171" s="280"/>
      <c r="AR171" s="280"/>
    </row>
    <row r="172" spans="1:44" customFormat="1" x14ac:dyDescent="0.2">
      <c r="A172" s="420">
        <v>81</v>
      </c>
      <c r="B172" s="547" t="s">
        <v>694</v>
      </c>
      <c r="C172" s="616" t="s">
        <v>517</v>
      </c>
      <c r="D172" s="612">
        <v>0.18</v>
      </c>
      <c r="E172" s="518">
        <v>1260</v>
      </c>
      <c r="F172" s="612">
        <v>0.18</v>
      </c>
      <c r="G172" s="518">
        <v>1260</v>
      </c>
      <c r="H172" s="222"/>
      <c r="I172" s="141"/>
      <c r="J172" s="141"/>
      <c r="K172" s="222"/>
      <c r="L172" s="141"/>
      <c r="M172" s="141"/>
      <c r="N172" s="9"/>
      <c r="O172" s="9"/>
      <c r="P172" s="9"/>
      <c r="Q172" s="9"/>
      <c r="R172" s="9"/>
      <c r="S172" s="280"/>
      <c r="T172" s="9"/>
      <c r="U172" s="9"/>
      <c r="V172" s="9"/>
      <c r="W172" s="283"/>
      <c r="X172" s="283"/>
      <c r="Y172" s="280"/>
      <c r="Z172" s="9"/>
      <c r="AA172" s="9"/>
      <c r="AB172" s="283"/>
      <c r="AC172" s="283"/>
      <c r="AD172" s="283"/>
      <c r="AE172" s="283"/>
      <c r="AF172" s="490" t="s">
        <v>145</v>
      </c>
      <c r="AG172" s="490" t="s">
        <v>625</v>
      </c>
      <c r="AH172" s="490" t="s">
        <v>11</v>
      </c>
      <c r="AI172" s="283">
        <v>0.18</v>
      </c>
      <c r="AJ172" s="283" t="s">
        <v>5</v>
      </c>
      <c r="AK172" s="422">
        <f>AI172*8417.508</f>
        <v>1515.1514399999999</v>
      </c>
      <c r="AL172" s="490"/>
      <c r="AM172" s="490"/>
      <c r="AN172" s="490"/>
      <c r="AO172" s="283"/>
      <c r="AP172" s="283"/>
      <c r="AQ172" s="490"/>
      <c r="AR172" s="280"/>
    </row>
    <row r="173" spans="1:44" customFormat="1" x14ac:dyDescent="0.2">
      <c r="A173" s="421"/>
      <c r="B173" s="548"/>
      <c r="C173" s="617"/>
      <c r="D173" s="613"/>
      <c r="E173" s="519"/>
      <c r="F173" s="613"/>
      <c r="G173" s="519"/>
      <c r="H173" s="222"/>
      <c r="I173" s="141"/>
      <c r="J173" s="141"/>
      <c r="K173" s="222"/>
      <c r="L173" s="141"/>
      <c r="M173" s="141"/>
      <c r="N173" s="9"/>
      <c r="O173" s="9"/>
      <c r="P173" s="9"/>
      <c r="Q173" s="9"/>
      <c r="R173" s="9"/>
      <c r="S173" s="280"/>
      <c r="T173" s="9"/>
      <c r="U173" s="9"/>
      <c r="V173" s="9"/>
      <c r="W173" s="283"/>
      <c r="X173" s="283"/>
      <c r="Y173" s="280"/>
      <c r="Z173" s="9"/>
      <c r="AA173" s="9"/>
      <c r="AB173" s="283"/>
      <c r="AC173" s="283"/>
      <c r="AD173" s="283"/>
      <c r="AE173" s="283"/>
      <c r="AF173" s="491"/>
      <c r="AG173" s="491"/>
      <c r="AH173" s="491"/>
      <c r="AI173" s="283">
        <v>1260</v>
      </c>
      <c r="AJ173" s="283" t="s">
        <v>8</v>
      </c>
      <c r="AK173" s="423"/>
      <c r="AL173" s="491"/>
      <c r="AM173" s="491"/>
      <c r="AN173" s="491"/>
      <c r="AO173" s="283"/>
      <c r="AP173" s="283"/>
      <c r="AQ173" s="491"/>
      <c r="AR173" s="280"/>
    </row>
    <row r="174" spans="1:44" customFormat="1" x14ac:dyDescent="0.2">
      <c r="A174" s="420">
        <v>82</v>
      </c>
      <c r="B174" s="459" t="s">
        <v>514</v>
      </c>
      <c r="C174" s="622" t="s">
        <v>515</v>
      </c>
      <c r="D174" s="516">
        <v>0.64</v>
      </c>
      <c r="E174" s="518">
        <v>4480</v>
      </c>
      <c r="F174" s="516">
        <v>0.64</v>
      </c>
      <c r="G174" s="518">
        <v>4480</v>
      </c>
      <c r="H174" s="222"/>
      <c r="I174" s="141"/>
      <c r="J174" s="141"/>
      <c r="K174" s="141"/>
      <c r="L174" s="141"/>
      <c r="M174" s="141"/>
      <c r="N174" s="577"/>
      <c r="O174" s="577"/>
      <c r="P174" s="614"/>
      <c r="Q174" s="141"/>
      <c r="R174" s="141"/>
      <c r="S174" s="490"/>
      <c r="T174" s="280"/>
      <c r="U174" s="280"/>
      <c r="V174" s="280"/>
      <c r="W174" s="280"/>
      <c r="X174" s="280"/>
      <c r="Y174" s="280"/>
      <c r="Z174" s="280"/>
      <c r="AA174" s="280"/>
      <c r="AB174" s="280"/>
      <c r="AC174" s="280"/>
      <c r="AD174" s="280"/>
      <c r="AE174" s="280"/>
      <c r="AF174" s="280"/>
      <c r="AG174" s="280"/>
      <c r="AH174" s="280"/>
      <c r="AI174" s="280"/>
      <c r="AJ174" s="280"/>
      <c r="AK174" s="280"/>
      <c r="AL174" s="577" t="s">
        <v>145</v>
      </c>
      <c r="AM174" s="577" t="s">
        <v>699</v>
      </c>
      <c r="AN174" s="614" t="s">
        <v>11</v>
      </c>
      <c r="AO174" s="141">
        <v>0.64</v>
      </c>
      <c r="AP174" s="141" t="s">
        <v>5</v>
      </c>
      <c r="AQ174" s="422">
        <v>2823.1386600000001</v>
      </c>
      <c r="AR174" s="280"/>
    </row>
    <row r="175" spans="1:44" customFormat="1" x14ac:dyDescent="0.2">
      <c r="A175" s="421"/>
      <c r="B175" s="460" t="s">
        <v>514</v>
      </c>
      <c r="C175" s="623" t="s">
        <v>515</v>
      </c>
      <c r="D175" s="517"/>
      <c r="E175" s="519"/>
      <c r="F175" s="517"/>
      <c r="G175" s="519"/>
      <c r="H175" s="222"/>
      <c r="I175" s="141"/>
      <c r="J175" s="141"/>
      <c r="K175" s="141"/>
      <c r="L175" s="141"/>
      <c r="M175" s="141"/>
      <c r="N175" s="578"/>
      <c r="O175" s="578"/>
      <c r="P175" s="615"/>
      <c r="Q175" s="141"/>
      <c r="R175" s="141"/>
      <c r="S175" s="491"/>
      <c r="T175" s="280"/>
      <c r="U175" s="280"/>
      <c r="V175" s="280"/>
      <c r="W175" s="280"/>
      <c r="X175" s="280"/>
      <c r="Y175" s="280"/>
      <c r="Z175" s="280"/>
      <c r="AA175" s="280"/>
      <c r="AB175" s="280"/>
      <c r="AC175" s="280"/>
      <c r="AD175" s="280"/>
      <c r="AE175" s="280"/>
      <c r="AF175" s="280"/>
      <c r="AG175" s="280"/>
      <c r="AH175" s="280"/>
      <c r="AI175" s="280"/>
      <c r="AJ175" s="280"/>
      <c r="AK175" s="280"/>
      <c r="AL175" s="578"/>
      <c r="AM175" s="578"/>
      <c r="AN175" s="615"/>
      <c r="AO175" s="141">
        <v>2380</v>
      </c>
      <c r="AP175" s="141" t="s">
        <v>8</v>
      </c>
      <c r="AQ175" s="423"/>
      <c r="AR175" s="280"/>
    </row>
    <row r="176" spans="1:44" customFormat="1" ht="45" x14ac:dyDescent="0.2">
      <c r="A176" s="204"/>
      <c r="B176" s="55"/>
      <c r="C176" s="382" t="s">
        <v>787</v>
      </c>
      <c r="D176" s="172"/>
      <c r="E176" s="166"/>
      <c r="F176" s="172"/>
      <c r="G176" s="166"/>
      <c r="H176" s="222"/>
      <c r="I176" s="141"/>
      <c r="J176" s="141"/>
      <c r="K176" s="141"/>
      <c r="L176" s="141"/>
      <c r="M176" s="383">
        <f>40000-2885.5</f>
        <v>37114.5</v>
      </c>
      <c r="N176" s="141"/>
      <c r="O176" s="141"/>
      <c r="P176" s="9"/>
      <c r="Q176" s="141"/>
      <c r="R176" s="141"/>
      <c r="S176" s="384">
        <f>M176*1.08</f>
        <v>40083.660000000003</v>
      </c>
      <c r="T176" s="358"/>
      <c r="U176" s="358"/>
      <c r="V176" s="358"/>
      <c r="W176" s="358"/>
      <c r="X176" s="358"/>
      <c r="Y176" s="384">
        <f>S176*1.08</f>
        <v>43290.352800000008</v>
      </c>
      <c r="Z176" s="358"/>
      <c r="AA176" s="358"/>
      <c r="AB176" s="358"/>
      <c r="AC176" s="358"/>
      <c r="AD176" s="358"/>
      <c r="AE176" s="385">
        <f>Y176*1.08</f>
        <v>46753.581024000014</v>
      </c>
      <c r="AF176" s="358"/>
      <c r="AG176" s="358"/>
      <c r="AH176" s="358"/>
      <c r="AI176" s="358"/>
      <c r="AJ176" s="358"/>
      <c r="AK176" s="385">
        <f>AE176*1.08</f>
        <v>50493.867505920018</v>
      </c>
      <c r="AL176" s="141"/>
      <c r="AM176" s="141"/>
      <c r="AN176" s="9"/>
      <c r="AO176" s="141"/>
      <c r="AP176" s="141"/>
      <c r="AQ176" s="385">
        <f>AK176*1.08</f>
        <v>54533.37690639362</v>
      </c>
      <c r="AR176" s="358"/>
    </row>
    <row r="177" spans="1:65" s="109" customFormat="1" ht="40.5" customHeight="1" x14ac:dyDescent="0.25">
      <c r="A177" s="618" t="s">
        <v>24</v>
      </c>
      <c r="B177" s="619"/>
      <c r="C177" s="620"/>
      <c r="D177" s="99"/>
      <c r="E177" s="99"/>
      <c r="F177" s="99"/>
      <c r="G177" s="99"/>
      <c r="H177" s="99"/>
      <c r="I177" s="99"/>
      <c r="J177" s="99"/>
      <c r="K177" s="164">
        <f>K9+K112+K153</f>
        <v>15.626000000000001</v>
      </c>
      <c r="L177" s="103"/>
      <c r="M177" s="192">
        <f>M9+M112+M153</f>
        <v>239999.99964000002</v>
      </c>
      <c r="N177" s="99"/>
      <c r="O177" s="99"/>
      <c r="P177" s="99"/>
      <c r="Q177" s="192">
        <f>Q9+Q112+Q153</f>
        <v>16.488999999999997</v>
      </c>
      <c r="R177" s="103"/>
      <c r="S177" s="192">
        <f>S9+S112+S153</f>
        <v>240000.00120499998</v>
      </c>
      <c r="T177" s="99"/>
      <c r="U177" s="99"/>
      <c r="V177" s="99"/>
      <c r="W177" s="164">
        <f>W9+W112+W153</f>
        <v>16.693999999999999</v>
      </c>
      <c r="X177" s="103"/>
      <c r="Y177" s="192">
        <f>Y9+Y112+Y153</f>
        <v>239999.99882400001</v>
      </c>
      <c r="Z177" s="99"/>
      <c r="AA177" s="99"/>
      <c r="AB177" s="99"/>
      <c r="AC177" s="164">
        <f>AC9+AC112+AC153</f>
        <v>15.709000000000001</v>
      </c>
      <c r="AD177" s="103"/>
      <c r="AE177" s="192">
        <f>AE153+AE112+AE9</f>
        <v>239999.99992100001</v>
      </c>
      <c r="AF177" s="99"/>
      <c r="AG177" s="99"/>
      <c r="AH177" s="99"/>
      <c r="AI177" s="164">
        <f>AI9+AI112+AI153</f>
        <v>16.588999999999999</v>
      </c>
      <c r="AJ177" s="103"/>
      <c r="AK177" s="192">
        <f>AK9+AK112+AK153</f>
        <v>239999.99751200003</v>
      </c>
      <c r="AL177" s="99"/>
      <c r="AM177" s="99"/>
      <c r="AN177" s="99"/>
      <c r="AO177" s="164">
        <f>AO9+AO112+AO153</f>
        <v>15.953000000000001</v>
      </c>
      <c r="AP177" s="103"/>
      <c r="AQ177" s="192">
        <f>AQ9+AQ112+AQ153</f>
        <v>239999.99873699999</v>
      </c>
      <c r="AR177" s="99"/>
      <c r="AS177" s="108"/>
      <c r="AT177" s="108"/>
      <c r="AU177" s="108"/>
      <c r="AV177" s="108"/>
      <c r="AW177" s="108"/>
      <c r="AX177" s="108"/>
      <c r="AY177" s="108"/>
      <c r="AZ177" s="108"/>
      <c r="BA177" s="108"/>
      <c r="BB177" s="108"/>
      <c r="BC177" s="108"/>
      <c r="BD177" s="108"/>
      <c r="BE177" s="108"/>
      <c r="BF177" s="108"/>
      <c r="BG177" s="108"/>
      <c r="BH177" s="108"/>
      <c r="BI177" s="108"/>
      <c r="BJ177" s="108"/>
      <c r="BK177" s="108"/>
      <c r="BL177" s="108"/>
      <c r="BM177" s="108"/>
    </row>
    <row r="178" spans="1:65" ht="27" customHeight="1" x14ac:dyDescent="0.25">
      <c r="A178" s="621" t="s">
        <v>89</v>
      </c>
      <c r="B178" s="621"/>
      <c r="C178" s="621"/>
      <c r="D178" s="621"/>
      <c r="E178" s="621"/>
      <c r="F178" s="621"/>
      <c r="G178" s="621"/>
      <c r="H178" s="621"/>
      <c r="I178" s="621"/>
      <c r="J178" s="444" t="s">
        <v>11</v>
      </c>
      <c r="K178" s="190">
        <f>K10+K12+K14+K16+K18+K20+K22+K24+K26+K28+K32+K113+K115+K117+K119+K154+K156</f>
        <v>15.626000000000001</v>
      </c>
      <c r="L178" s="13" t="s">
        <v>5</v>
      </c>
      <c r="M178" s="182">
        <f>M10+M12+M14+M16+M18+M20+M22+M24+M26+M28+M32+M113+M115+M117+M119+M154+M156</f>
        <v>186368.66963999998</v>
      </c>
      <c r="N178" s="58"/>
      <c r="O178" s="14"/>
      <c r="P178" s="444" t="s">
        <v>11</v>
      </c>
      <c r="Q178" s="190">
        <f>Q28+Q32+Q34+Q36+Q38+Q40+Q42+Q121+Q123+Q125+Q127+Q158+Q160</f>
        <v>15.439000000000002</v>
      </c>
      <c r="R178" s="13" t="s">
        <v>5</v>
      </c>
      <c r="S178" s="182">
        <f>S28+S32+S34+S36+S38+S40+S42+S121+S123+S125+S127+S158+S160</f>
        <v>196519.82120499999</v>
      </c>
      <c r="T178" s="58"/>
      <c r="U178" s="14"/>
      <c r="V178" s="444" t="s">
        <v>11</v>
      </c>
      <c r="W178" s="190">
        <f>W44+W46+W48+W50+W54+W56+W58+W60+W62+W129+W131+W133+W135+W162+W164</f>
        <v>15.413999999999998</v>
      </c>
      <c r="X178" s="13" t="s">
        <v>5</v>
      </c>
      <c r="Y178" s="182">
        <f>Y44+Y46+Y48+Y50+Y54+Y56+Y58+Y60+Y62+Y129+Y131+Y133+Y135+Y162+Y164</f>
        <v>218313.82922399999</v>
      </c>
      <c r="Z178" s="58"/>
      <c r="AA178" s="14"/>
      <c r="AB178" s="444" t="s">
        <v>11</v>
      </c>
      <c r="AC178" s="190">
        <f>AC64+AC66+AC68+AC70+AC72+AC74+AC76+AC78+AC80+AC137+AC139+AC166+AC168</f>
        <v>15.709000000000001</v>
      </c>
      <c r="AD178" s="13" t="s">
        <v>5</v>
      </c>
      <c r="AE178" s="182">
        <f>AE64+AE66+AE68+AE70+AE72+AE74+AE76+AE78+AE80+AE137+AE139+AE166+AE168</f>
        <v>239999.99992100004</v>
      </c>
      <c r="AF178" s="58"/>
      <c r="AG178" s="14"/>
      <c r="AH178" s="444" t="s">
        <v>11</v>
      </c>
      <c r="AI178" s="190">
        <f>AI82+AI84+AI88+AI90+AI141+AI143+AI145+AI170+AI172</f>
        <v>13.483999999999998</v>
      </c>
      <c r="AJ178" s="13" t="s">
        <v>5</v>
      </c>
      <c r="AK178" s="182">
        <f>AK82+AK84+AK88+AK90+AK141+AK143+AK145+AK170+AK172</f>
        <v>185797.99971199999</v>
      </c>
      <c r="AL178" s="58"/>
      <c r="AM178" s="14"/>
      <c r="AN178" s="444" t="s">
        <v>11</v>
      </c>
      <c r="AO178" s="190">
        <f>AO96+AO98+AO100+AO102+AO104+AO110+AO147+AO149+AO151+AO174</f>
        <v>13.623000000000001</v>
      </c>
      <c r="AP178" s="13" t="s">
        <v>5</v>
      </c>
      <c r="AQ178" s="182">
        <f>AQ96+AQ98+AQ100+AQ102+AQ104+AQ110+AQ147+AQ149+AQ151+AQ174</f>
        <v>196583.85053699999</v>
      </c>
      <c r="AR178" s="13"/>
      <c r="AS178" s="180">
        <f>K178+Q178+W178+AC178+AI178+AO178</f>
        <v>89.295000000000002</v>
      </c>
      <c r="AT178" s="180">
        <f>AS9+AS112+AS153</f>
        <v>97.06</v>
      </c>
      <c r="AU178" s="180">
        <f>AS178-AT178</f>
        <v>-7.7650000000000006</v>
      </c>
    </row>
    <row r="179" spans="1:65" ht="27" customHeight="1" x14ac:dyDescent="0.25">
      <c r="A179" s="621"/>
      <c r="B179" s="621"/>
      <c r="C179" s="621"/>
      <c r="D179" s="621"/>
      <c r="E179" s="621"/>
      <c r="F179" s="621"/>
      <c r="G179" s="621"/>
      <c r="H179" s="621"/>
      <c r="I179" s="621"/>
      <c r="J179" s="445"/>
      <c r="K179" s="190">
        <f t="shared" ref="K179" si="132">K11+K13+K15+K17+K19+K21+K23+K25+K27+K29+K33+K114+K116+K118+K120+K155+K157</f>
        <v>126882</v>
      </c>
      <c r="L179" s="13" t="s">
        <v>8</v>
      </c>
      <c r="M179" s="220"/>
      <c r="N179" s="56"/>
      <c r="O179" s="17"/>
      <c r="P179" s="445"/>
      <c r="Q179" s="190">
        <f>Q29+Q33+Q35+Q37+Q39+Q41+Q43+Q122+Q124+Q126+Q128+Q159+Q161</f>
        <v>113638</v>
      </c>
      <c r="R179" s="13" t="s">
        <v>8</v>
      </c>
      <c r="S179" s="220"/>
      <c r="T179" s="56"/>
      <c r="U179" s="17"/>
      <c r="V179" s="445"/>
      <c r="W179" s="190">
        <f>W45+W47+W49+W51+W55+W57+W59+W61+W63+W130+W132+W134+W136+W163+W165</f>
        <v>117793</v>
      </c>
      <c r="X179" s="13" t="s">
        <v>8</v>
      </c>
      <c r="Y179" s="13"/>
      <c r="Z179" s="56"/>
      <c r="AA179" s="17"/>
      <c r="AB179" s="445"/>
      <c r="AC179" s="190">
        <f>AC65+AC67+AC69+AC71+AC73+AC75+AC77+AC79+AC81+AC138+AC140+AC167+AC169</f>
        <v>122429</v>
      </c>
      <c r="AD179" s="13" t="s">
        <v>8</v>
      </c>
      <c r="AE179" s="13"/>
      <c r="AF179" s="56"/>
      <c r="AG179" s="17"/>
      <c r="AH179" s="445"/>
      <c r="AI179" s="190">
        <f>AI83+AI85+AI89+AI91+AI142+AI144+AI146+AI171+AI173</f>
        <v>91518</v>
      </c>
      <c r="AJ179" s="13" t="s">
        <v>8</v>
      </c>
      <c r="AK179" s="12"/>
      <c r="AL179" s="56"/>
      <c r="AM179" s="17"/>
      <c r="AN179" s="445"/>
      <c r="AO179" s="190">
        <f>AO97+AO99+AO101+AO103+AO105+AO111+AO148+AO150+AO152+AO175</f>
        <v>94041</v>
      </c>
      <c r="AP179" s="13" t="s">
        <v>8</v>
      </c>
      <c r="AQ179" s="13"/>
      <c r="AR179" s="13"/>
    </row>
    <row r="180" spans="1:65" ht="21.75" customHeight="1" x14ac:dyDescent="0.25">
      <c r="A180" s="621"/>
      <c r="B180" s="621"/>
      <c r="C180" s="621"/>
      <c r="D180" s="621"/>
      <c r="E180" s="621"/>
      <c r="F180" s="621"/>
      <c r="G180" s="621"/>
      <c r="H180" s="621"/>
      <c r="I180" s="621"/>
      <c r="J180" s="444" t="s">
        <v>41</v>
      </c>
      <c r="K180" s="190">
        <v>0</v>
      </c>
      <c r="L180" s="13" t="s">
        <v>5</v>
      </c>
      <c r="M180" s="220"/>
      <c r="N180" s="56"/>
      <c r="O180" s="17"/>
      <c r="P180" s="444" t="s">
        <v>41</v>
      </c>
      <c r="Q180" s="190">
        <v>0</v>
      </c>
      <c r="R180" s="13" t="s">
        <v>5</v>
      </c>
      <c r="S180" s="190">
        <v>0</v>
      </c>
      <c r="T180" s="56"/>
      <c r="U180" s="17"/>
      <c r="V180" s="444" t="s">
        <v>41</v>
      </c>
      <c r="W180" s="190"/>
      <c r="X180" s="13" t="s">
        <v>5</v>
      </c>
      <c r="Y180" s="193"/>
      <c r="Z180" s="56"/>
      <c r="AA180" s="17"/>
      <c r="AB180" s="444" t="s">
        <v>41</v>
      </c>
      <c r="AC180" s="190"/>
      <c r="AD180" s="13" t="s">
        <v>5</v>
      </c>
      <c r="AE180" s="193"/>
      <c r="AF180" s="56"/>
      <c r="AG180" s="17"/>
      <c r="AH180" s="444" t="s">
        <v>41</v>
      </c>
      <c r="AI180" s="190">
        <f>AI92+AI94</f>
        <v>1.6549999999999998</v>
      </c>
      <c r="AJ180" s="13" t="s">
        <v>5</v>
      </c>
      <c r="AK180" s="182">
        <f>AK92+AK94</f>
        <v>28890.275799999996</v>
      </c>
      <c r="AL180" s="56"/>
      <c r="AM180" s="17"/>
      <c r="AN180" s="444" t="s">
        <v>41</v>
      </c>
      <c r="AO180" s="190">
        <f>AO106+AO108</f>
        <v>2.33</v>
      </c>
      <c r="AP180" s="13" t="s">
        <v>5</v>
      </c>
      <c r="AQ180" s="190">
        <f>AQ106+AQ108</f>
        <v>43416.148200000003</v>
      </c>
      <c r="AR180" s="13"/>
      <c r="AS180" s="180">
        <f>K180+Q180+W180+AC180+AI180+AO180</f>
        <v>3.9849999999999999</v>
      </c>
      <c r="AT180" s="180"/>
      <c r="AU180" s="180"/>
    </row>
    <row r="181" spans="1:65" ht="21.75" customHeight="1" x14ac:dyDescent="0.25">
      <c r="A181" s="621"/>
      <c r="B181" s="621"/>
      <c r="C181" s="621"/>
      <c r="D181" s="621"/>
      <c r="E181" s="621"/>
      <c r="F181" s="621"/>
      <c r="G181" s="621"/>
      <c r="H181" s="621"/>
      <c r="I181" s="621"/>
      <c r="J181" s="445"/>
      <c r="K181" s="190">
        <v>0</v>
      </c>
      <c r="L181" s="13" t="s">
        <v>8</v>
      </c>
      <c r="M181" s="220"/>
      <c r="N181" s="56"/>
      <c r="O181" s="17"/>
      <c r="P181" s="445"/>
      <c r="Q181" s="190">
        <v>0</v>
      </c>
      <c r="R181" s="13" t="s">
        <v>8</v>
      </c>
      <c r="S181" s="13"/>
      <c r="T181" s="56"/>
      <c r="U181" s="17"/>
      <c r="V181" s="445"/>
      <c r="W181" s="190"/>
      <c r="X181" s="13" t="s">
        <v>8</v>
      </c>
      <c r="Y181" s="13"/>
      <c r="Z181" s="56"/>
      <c r="AA181" s="17"/>
      <c r="AB181" s="445"/>
      <c r="AC181" s="190"/>
      <c r="AD181" s="13" t="s">
        <v>8</v>
      </c>
      <c r="AE181" s="13"/>
      <c r="AF181" s="56"/>
      <c r="AG181" s="17"/>
      <c r="AH181" s="445"/>
      <c r="AI181" s="190">
        <f>AI93+AI95</f>
        <v>12117.5</v>
      </c>
      <c r="AJ181" s="13" t="s">
        <v>8</v>
      </c>
      <c r="AK181" s="12"/>
      <c r="AL181" s="56"/>
      <c r="AM181" s="17"/>
      <c r="AN181" s="445"/>
      <c r="AO181" s="190">
        <f>AO107+AO109</f>
        <v>16310</v>
      </c>
      <c r="AP181" s="13" t="s">
        <v>8</v>
      </c>
      <c r="AQ181" s="13"/>
      <c r="AR181" s="13"/>
    </row>
    <row r="182" spans="1:65" ht="21.75" customHeight="1" x14ac:dyDescent="0.25">
      <c r="A182" s="621"/>
      <c r="B182" s="621"/>
      <c r="C182" s="621"/>
      <c r="D182" s="621"/>
      <c r="E182" s="621"/>
      <c r="F182" s="621"/>
      <c r="G182" s="621"/>
      <c r="H182" s="621"/>
      <c r="I182" s="621"/>
      <c r="J182" s="444" t="s">
        <v>42</v>
      </c>
      <c r="K182" s="190">
        <f>K30</f>
        <v>0</v>
      </c>
      <c r="L182" s="13" t="s">
        <v>5</v>
      </c>
      <c r="M182" s="182">
        <f>M30</f>
        <v>53631.33</v>
      </c>
      <c r="N182" s="56"/>
      <c r="O182" s="17"/>
      <c r="P182" s="444" t="s">
        <v>42</v>
      </c>
      <c r="Q182" s="190">
        <f>Q30</f>
        <v>1.05</v>
      </c>
      <c r="R182" s="13" t="s">
        <v>5</v>
      </c>
      <c r="S182" s="182">
        <f>S30</f>
        <v>43480.18</v>
      </c>
      <c r="T182" s="56"/>
      <c r="U182" s="17"/>
      <c r="V182" s="444" t="s">
        <v>42</v>
      </c>
      <c r="W182" s="190">
        <f>W52</f>
        <v>1.28</v>
      </c>
      <c r="X182" s="13" t="s">
        <v>5</v>
      </c>
      <c r="Y182" s="262">
        <f>Y52</f>
        <v>21686.169600000001</v>
      </c>
      <c r="Z182" s="56"/>
      <c r="AA182" s="17"/>
      <c r="AB182" s="444" t="s">
        <v>42</v>
      </c>
      <c r="AC182" s="13"/>
      <c r="AD182" s="13" t="s">
        <v>5</v>
      </c>
      <c r="AE182" s="13"/>
      <c r="AF182" s="56"/>
      <c r="AG182" s="17"/>
      <c r="AH182" s="444" t="s">
        <v>42</v>
      </c>
      <c r="AI182" s="190">
        <f>AI86</f>
        <v>1.45</v>
      </c>
      <c r="AJ182" s="13" t="s">
        <v>5</v>
      </c>
      <c r="AK182" s="263">
        <f>AK86</f>
        <v>25311.722000000002</v>
      </c>
      <c r="AL182" s="56"/>
      <c r="AM182" s="17"/>
      <c r="AN182" s="444" t="s">
        <v>42</v>
      </c>
      <c r="AO182" s="13"/>
      <c r="AP182" s="13" t="s">
        <v>5</v>
      </c>
      <c r="AQ182" s="13"/>
      <c r="AR182" s="13"/>
      <c r="AS182" s="180">
        <f>K182+Q182+W182+AC182+AI182+AO182</f>
        <v>3.7800000000000002</v>
      </c>
      <c r="AT182" s="180"/>
      <c r="AU182" s="180"/>
    </row>
    <row r="183" spans="1:65" ht="21.75" customHeight="1" x14ac:dyDescent="0.25">
      <c r="A183" s="621"/>
      <c r="B183" s="621"/>
      <c r="C183" s="621"/>
      <c r="D183" s="621"/>
      <c r="E183" s="621"/>
      <c r="F183" s="621"/>
      <c r="G183" s="621"/>
      <c r="H183" s="621"/>
      <c r="I183" s="621"/>
      <c r="J183" s="445"/>
      <c r="K183" s="190">
        <f>K31</f>
        <v>0</v>
      </c>
      <c r="L183" s="13" t="s">
        <v>8</v>
      </c>
      <c r="M183" s="182"/>
      <c r="N183" s="56"/>
      <c r="O183" s="17"/>
      <c r="P183" s="445"/>
      <c r="Q183" s="190">
        <f>Q31</f>
        <v>14700</v>
      </c>
      <c r="R183" s="13" t="s">
        <v>8</v>
      </c>
      <c r="S183" s="13"/>
      <c r="T183" s="56"/>
      <c r="U183" s="17"/>
      <c r="V183" s="445"/>
      <c r="W183" s="190">
        <f>W53</f>
        <v>8960</v>
      </c>
      <c r="X183" s="13" t="s">
        <v>8</v>
      </c>
      <c r="Y183" s="13"/>
      <c r="Z183" s="56"/>
      <c r="AA183" s="17"/>
      <c r="AB183" s="445"/>
      <c r="AC183" s="13"/>
      <c r="AD183" s="13" t="s">
        <v>8</v>
      </c>
      <c r="AE183" s="13"/>
      <c r="AF183" s="56"/>
      <c r="AG183" s="17"/>
      <c r="AH183" s="445"/>
      <c r="AI183" s="190">
        <f>AI87</f>
        <v>87870.97</v>
      </c>
      <c r="AJ183" s="13" t="s">
        <v>8</v>
      </c>
      <c r="AK183" s="13"/>
      <c r="AL183" s="56"/>
      <c r="AM183" s="17"/>
      <c r="AN183" s="445"/>
      <c r="AO183" s="13"/>
      <c r="AP183" s="13" t="s">
        <v>8</v>
      </c>
      <c r="AQ183" s="13"/>
      <c r="AR183" s="13"/>
    </row>
    <row r="184" spans="1:65" ht="21.75" customHeight="1" x14ac:dyDescent="0.25">
      <c r="A184" s="621"/>
      <c r="B184" s="621"/>
      <c r="C184" s="621"/>
      <c r="D184" s="621"/>
      <c r="E184" s="621"/>
      <c r="F184" s="621"/>
      <c r="G184" s="621"/>
      <c r="H184" s="621"/>
      <c r="I184" s="621"/>
      <c r="J184" s="444" t="s">
        <v>43</v>
      </c>
      <c r="K184" s="13"/>
      <c r="L184" s="13" t="s">
        <v>5</v>
      </c>
      <c r="M184" s="182"/>
      <c r="N184" s="56"/>
      <c r="O184" s="17"/>
      <c r="P184" s="444" t="s">
        <v>43</v>
      </c>
      <c r="Q184" s="13"/>
      <c r="R184" s="13" t="s">
        <v>5</v>
      </c>
      <c r="S184" s="13"/>
      <c r="T184" s="56"/>
      <c r="U184" s="17"/>
      <c r="V184" s="444" t="s">
        <v>43</v>
      </c>
      <c r="W184" s="13"/>
      <c r="X184" s="13" t="s">
        <v>5</v>
      </c>
      <c r="Y184" s="13"/>
      <c r="Z184" s="56"/>
      <c r="AA184" s="17"/>
      <c r="AB184" s="444" t="s">
        <v>43</v>
      </c>
      <c r="AC184" s="13"/>
      <c r="AD184" s="13" t="s">
        <v>5</v>
      </c>
      <c r="AE184" s="13"/>
      <c r="AF184" s="56"/>
      <c r="AG184" s="17"/>
      <c r="AH184" s="444" t="s">
        <v>43</v>
      </c>
      <c r="AI184" s="13"/>
      <c r="AJ184" s="13" t="s">
        <v>5</v>
      </c>
      <c r="AK184" s="13"/>
      <c r="AL184" s="56"/>
      <c r="AM184" s="17"/>
      <c r="AN184" s="444" t="s">
        <v>43</v>
      </c>
      <c r="AO184" s="13"/>
      <c r="AP184" s="13" t="s">
        <v>5</v>
      </c>
      <c r="AQ184" s="13"/>
      <c r="AR184" s="13"/>
    </row>
    <row r="185" spans="1:65" ht="21.75" customHeight="1" x14ac:dyDescent="0.25">
      <c r="A185" s="621"/>
      <c r="B185" s="621"/>
      <c r="C185" s="621"/>
      <c r="D185" s="621"/>
      <c r="E185" s="621"/>
      <c r="F185" s="621"/>
      <c r="G185" s="621"/>
      <c r="H185" s="621"/>
      <c r="I185" s="621"/>
      <c r="J185" s="445"/>
      <c r="K185" s="13"/>
      <c r="L185" s="13" t="s">
        <v>8</v>
      </c>
      <c r="M185" s="13"/>
      <c r="N185" s="56"/>
      <c r="O185" s="17"/>
      <c r="P185" s="445"/>
      <c r="Q185" s="13"/>
      <c r="R185" s="13" t="s">
        <v>8</v>
      </c>
      <c r="S185" s="13"/>
      <c r="T185" s="56"/>
      <c r="U185" s="17"/>
      <c r="V185" s="445"/>
      <c r="W185" s="13"/>
      <c r="X185" s="13" t="s">
        <v>8</v>
      </c>
      <c r="Y185" s="13"/>
      <c r="Z185" s="56"/>
      <c r="AA185" s="17"/>
      <c r="AB185" s="445"/>
      <c r="AC185" s="13"/>
      <c r="AD185" s="13" t="s">
        <v>8</v>
      </c>
      <c r="AE185" s="13"/>
      <c r="AF185" s="56"/>
      <c r="AG185" s="17"/>
      <c r="AH185" s="445"/>
      <c r="AI185" s="13"/>
      <c r="AJ185" s="13" t="s">
        <v>8</v>
      </c>
      <c r="AK185" s="13"/>
      <c r="AL185" s="56"/>
      <c r="AM185" s="17"/>
      <c r="AN185" s="445"/>
      <c r="AO185" s="13"/>
      <c r="AP185" s="13" t="s">
        <v>8</v>
      </c>
      <c r="AQ185" s="13"/>
      <c r="AR185" s="13"/>
    </row>
    <row r="186" spans="1:65" ht="21.75" customHeight="1" x14ac:dyDescent="0.25">
      <c r="A186" s="621"/>
      <c r="B186" s="621"/>
      <c r="C186" s="621"/>
      <c r="D186" s="621"/>
      <c r="E186" s="621"/>
      <c r="F186" s="621"/>
      <c r="G186" s="621"/>
      <c r="H186" s="621"/>
      <c r="I186" s="621"/>
      <c r="J186" s="444" t="s">
        <v>12</v>
      </c>
      <c r="K186" s="13">
        <f>K178*0.75*3*1000</f>
        <v>35158.5</v>
      </c>
      <c r="L186" s="13" t="s">
        <v>8</v>
      </c>
      <c r="M186" s="446">
        <f>K187*22</f>
        <v>773.48700000000008</v>
      </c>
      <c r="N186" s="56"/>
      <c r="O186" s="17"/>
      <c r="P186" s="444" t="s">
        <v>12</v>
      </c>
      <c r="Q186" s="13">
        <f>Q178*0.75*3*1000</f>
        <v>34737.750000000007</v>
      </c>
      <c r="R186" s="13" t="s">
        <v>8</v>
      </c>
      <c r="S186" s="446">
        <f>Q187*22</f>
        <v>764.23050000000012</v>
      </c>
      <c r="T186" s="56"/>
      <c r="U186" s="17"/>
      <c r="V186" s="444" t="s">
        <v>12</v>
      </c>
      <c r="W186" s="13">
        <f>W178*0.75*3*1000</f>
        <v>34681.499999999993</v>
      </c>
      <c r="X186" s="13" t="s">
        <v>8</v>
      </c>
      <c r="Y186" s="446">
        <f>W187*22</f>
        <v>762.99299999999982</v>
      </c>
      <c r="Z186" s="56"/>
      <c r="AA186" s="17"/>
      <c r="AB186" s="444" t="s">
        <v>12</v>
      </c>
      <c r="AC186" s="13">
        <f>AC178*0.75*3*1000</f>
        <v>35345.25</v>
      </c>
      <c r="AD186" s="13" t="s">
        <v>8</v>
      </c>
      <c r="AE186" s="446">
        <f>AC187*22</f>
        <v>777.59550000000002</v>
      </c>
      <c r="AF186" s="56"/>
      <c r="AG186" s="17"/>
      <c r="AH186" s="444" t="s">
        <v>12</v>
      </c>
      <c r="AI186" s="13">
        <f>AI178*0.75*3*1000</f>
        <v>30339</v>
      </c>
      <c r="AJ186" s="13" t="s">
        <v>8</v>
      </c>
      <c r="AK186" s="446">
        <f>AI187*22</f>
        <v>667.45799999999997</v>
      </c>
      <c r="AL186" s="56"/>
      <c r="AM186" s="17"/>
      <c r="AN186" s="444" t="s">
        <v>12</v>
      </c>
      <c r="AO186" s="13">
        <f>AO178*0.75*3*1000</f>
        <v>30651.75</v>
      </c>
      <c r="AP186" s="13" t="s">
        <v>8</v>
      </c>
      <c r="AQ186" s="446">
        <f>AO187*22</f>
        <v>674.33849999999995</v>
      </c>
      <c r="AR186" s="446"/>
    </row>
    <row r="187" spans="1:65" x14ac:dyDescent="0.25">
      <c r="A187" s="621"/>
      <c r="B187" s="621"/>
      <c r="C187" s="621"/>
      <c r="D187" s="621"/>
      <c r="E187" s="621"/>
      <c r="F187" s="621"/>
      <c r="G187" s="621"/>
      <c r="H187" s="621"/>
      <c r="I187" s="621"/>
      <c r="J187" s="445"/>
      <c r="K187" s="13">
        <f>K178*0.75*3</f>
        <v>35.158500000000004</v>
      </c>
      <c r="L187" s="13" t="s">
        <v>5</v>
      </c>
      <c r="M187" s="447"/>
      <c r="N187" s="56"/>
      <c r="O187" s="17"/>
      <c r="P187" s="445"/>
      <c r="Q187" s="13">
        <f>Q178*0.75*3</f>
        <v>34.737750000000005</v>
      </c>
      <c r="R187" s="13" t="s">
        <v>5</v>
      </c>
      <c r="S187" s="447"/>
      <c r="T187" s="56"/>
      <c r="U187" s="17"/>
      <c r="V187" s="445"/>
      <c r="W187" s="13">
        <f>W178*0.75*3</f>
        <v>34.681499999999993</v>
      </c>
      <c r="X187" s="13" t="s">
        <v>5</v>
      </c>
      <c r="Y187" s="447"/>
      <c r="Z187" s="56"/>
      <c r="AA187" s="17"/>
      <c r="AB187" s="445"/>
      <c r="AC187" s="13">
        <f>AC178*0.75*3</f>
        <v>35.34525</v>
      </c>
      <c r="AD187" s="13" t="s">
        <v>5</v>
      </c>
      <c r="AE187" s="447"/>
      <c r="AF187" s="56"/>
      <c r="AG187" s="17"/>
      <c r="AH187" s="445"/>
      <c r="AI187" s="13">
        <f>AI178*0.75*3</f>
        <v>30.338999999999999</v>
      </c>
      <c r="AJ187" s="13" t="s">
        <v>5</v>
      </c>
      <c r="AK187" s="447"/>
      <c r="AL187" s="56"/>
      <c r="AM187" s="17"/>
      <c r="AN187" s="445"/>
      <c r="AO187" s="13">
        <f>AO178*0.75*3</f>
        <v>30.65175</v>
      </c>
      <c r="AP187" s="13" t="s">
        <v>5</v>
      </c>
      <c r="AQ187" s="447"/>
      <c r="AR187" s="447"/>
    </row>
    <row r="188" spans="1:65" ht="42.75" x14ac:dyDescent="0.25">
      <c r="A188" s="621"/>
      <c r="B188" s="621"/>
      <c r="C188" s="621"/>
      <c r="D188" s="621"/>
      <c r="E188" s="621"/>
      <c r="F188" s="621"/>
      <c r="G188" s="621"/>
      <c r="H188" s="621"/>
      <c r="I188" s="621"/>
      <c r="J188" s="12" t="s">
        <v>13</v>
      </c>
      <c r="K188" s="13"/>
      <c r="L188" s="13" t="s">
        <v>14</v>
      </c>
      <c r="M188" s="13"/>
      <c r="N188" s="56"/>
      <c r="O188" s="17"/>
      <c r="P188" s="12" t="s">
        <v>13</v>
      </c>
      <c r="Q188" s="13"/>
      <c r="R188" s="13" t="s">
        <v>14</v>
      </c>
      <c r="S188" s="13"/>
      <c r="T188" s="56"/>
      <c r="U188" s="17"/>
      <c r="V188" s="12" t="s">
        <v>13</v>
      </c>
      <c r="W188" s="13"/>
      <c r="X188" s="13" t="s">
        <v>14</v>
      </c>
      <c r="Y188" s="13"/>
      <c r="Z188" s="56"/>
      <c r="AA188" s="17"/>
      <c r="AB188" s="12" t="s">
        <v>13</v>
      </c>
      <c r="AC188" s="13"/>
      <c r="AD188" s="13" t="s">
        <v>14</v>
      </c>
      <c r="AE188" s="13"/>
      <c r="AF188" s="56"/>
      <c r="AG188" s="17"/>
      <c r="AH188" s="12" t="s">
        <v>13</v>
      </c>
      <c r="AI188" s="13"/>
      <c r="AJ188" s="13" t="s">
        <v>14</v>
      </c>
      <c r="AK188" s="13"/>
      <c r="AL188" s="56"/>
      <c r="AM188" s="17"/>
      <c r="AN188" s="12" t="s">
        <v>13</v>
      </c>
      <c r="AO188" s="13"/>
      <c r="AP188" s="13" t="s">
        <v>14</v>
      </c>
      <c r="AQ188" s="13"/>
      <c r="AR188" s="13"/>
    </row>
    <row r="189" spans="1:65" ht="28.5" x14ac:dyDescent="0.25">
      <c r="A189" s="621"/>
      <c r="B189" s="621"/>
      <c r="C189" s="621"/>
      <c r="D189" s="621"/>
      <c r="E189" s="621"/>
      <c r="F189" s="621"/>
      <c r="G189" s="621"/>
      <c r="H189" s="621"/>
      <c r="I189" s="621"/>
      <c r="J189" s="12" t="s">
        <v>44</v>
      </c>
      <c r="K189" s="381">
        <f>2*K178/1.7</f>
        <v>18.383529411764709</v>
      </c>
      <c r="L189" s="13" t="s">
        <v>14</v>
      </c>
      <c r="M189" s="13">
        <f>K189*11</f>
        <v>202.21882352941179</v>
      </c>
      <c r="N189" s="56"/>
      <c r="O189" s="17"/>
      <c r="P189" s="12" t="s">
        <v>44</v>
      </c>
      <c r="Q189" s="381">
        <v>30</v>
      </c>
      <c r="R189" s="13" t="s">
        <v>14</v>
      </c>
      <c r="S189" s="13">
        <f>Q189*11</f>
        <v>330</v>
      </c>
      <c r="T189" s="56"/>
      <c r="U189" s="17"/>
      <c r="V189" s="12" t="s">
        <v>44</v>
      </c>
      <c r="W189" s="381">
        <v>24</v>
      </c>
      <c r="X189" s="13" t="s">
        <v>14</v>
      </c>
      <c r="Y189" s="13">
        <f>W189*11</f>
        <v>264</v>
      </c>
      <c r="Z189" s="56"/>
      <c r="AA189" s="17"/>
      <c r="AB189" s="12" t="s">
        <v>44</v>
      </c>
      <c r="AC189" s="381">
        <v>71</v>
      </c>
      <c r="AD189" s="13" t="s">
        <v>14</v>
      </c>
      <c r="AE189" s="13">
        <f>AC189*11</f>
        <v>781</v>
      </c>
      <c r="AF189" s="56"/>
      <c r="AG189" s="17"/>
      <c r="AH189" s="12" t="s">
        <v>44</v>
      </c>
      <c r="AI189" s="381">
        <v>40</v>
      </c>
      <c r="AJ189" s="13" t="s">
        <v>14</v>
      </c>
      <c r="AK189" s="13">
        <f>AI189*11</f>
        <v>440</v>
      </c>
      <c r="AL189" s="56"/>
      <c r="AM189" s="17"/>
      <c r="AN189" s="12" t="s">
        <v>44</v>
      </c>
      <c r="AO189" s="381">
        <v>62</v>
      </c>
      <c r="AP189" s="13" t="s">
        <v>14</v>
      </c>
      <c r="AQ189" s="13">
        <f>AO189*11</f>
        <v>682</v>
      </c>
      <c r="AR189" s="13"/>
    </row>
    <row r="190" spans="1:65" ht="42.75" x14ac:dyDescent="0.25">
      <c r="A190" s="621"/>
      <c r="B190" s="621"/>
      <c r="C190" s="621"/>
      <c r="D190" s="621"/>
      <c r="E190" s="621"/>
      <c r="F190" s="621"/>
      <c r="G190" s="621"/>
      <c r="H190" s="621"/>
      <c r="I190" s="621"/>
      <c r="J190" s="12" t="s">
        <v>15</v>
      </c>
      <c r="K190" s="13"/>
      <c r="L190" s="13" t="s">
        <v>16</v>
      </c>
      <c r="M190" s="13"/>
      <c r="N190" s="56"/>
      <c r="O190" s="17"/>
      <c r="P190" s="12" t="s">
        <v>15</v>
      </c>
      <c r="Q190" s="13"/>
      <c r="R190" s="13" t="s">
        <v>16</v>
      </c>
      <c r="S190" s="13"/>
      <c r="T190" s="56"/>
      <c r="U190" s="17"/>
      <c r="V190" s="12" t="s">
        <v>15</v>
      </c>
      <c r="W190" s="13"/>
      <c r="X190" s="13" t="s">
        <v>16</v>
      </c>
      <c r="Y190" s="13"/>
      <c r="Z190" s="56"/>
      <c r="AA190" s="17"/>
      <c r="AB190" s="12" t="s">
        <v>15</v>
      </c>
      <c r="AC190" s="13"/>
      <c r="AD190" s="13" t="s">
        <v>16</v>
      </c>
      <c r="AE190" s="13"/>
      <c r="AF190" s="56"/>
      <c r="AG190" s="17"/>
      <c r="AH190" s="12" t="s">
        <v>15</v>
      </c>
      <c r="AI190" s="13"/>
      <c r="AJ190" s="13" t="s">
        <v>16</v>
      </c>
      <c r="AK190" s="13"/>
      <c r="AL190" s="56"/>
      <c r="AM190" s="17"/>
      <c r="AN190" s="12" t="s">
        <v>15</v>
      </c>
      <c r="AO190" s="13"/>
      <c r="AP190" s="13" t="s">
        <v>16</v>
      </c>
      <c r="AQ190" s="13"/>
      <c r="AR190" s="13"/>
    </row>
    <row r="191" spans="1:65" ht="19.5" customHeight="1" x14ac:dyDescent="0.25">
      <c r="A191" s="621"/>
      <c r="B191" s="621"/>
      <c r="C191" s="621"/>
      <c r="D191" s="621"/>
      <c r="E191" s="621"/>
      <c r="F191" s="621"/>
      <c r="G191" s="621"/>
      <c r="H191" s="621"/>
      <c r="I191" s="621"/>
      <c r="J191" s="12" t="s">
        <v>17</v>
      </c>
      <c r="K191" s="13"/>
      <c r="L191" s="13" t="s">
        <v>8</v>
      </c>
      <c r="M191" s="13"/>
      <c r="N191" s="56"/>
      <c r="O191" s="17"/>
      <c r="P191" s="12" t="s">
        <v>17</v>
      </c>
      <c r="Q191" s="13"/>
      <c r="R191" s="13" t="s">
        <v>8</v>
      </c>
      <c r="S191" s="13"/>
      <c r="T191" s="56"/>
      <c r="U191" s="17"/>
      <c r="V191" s="12" t="s">
        <v>17</v>
      </c>
      <c r="W191" s="13"/>
      <c r="X191" s="13" t="s">
        <v>8</v>
      </c>
      <c r="Y191" s="13"/>
      <c r="Z191" s="56"/>
      <c r="AA191" s="17"/>
      <c r="AB191" s="12" t="s">
        <v>17</v>
      </c>
      <c r="AC191" s="13"/>
      <c r="AD191" s="13" t="s">
        <v>8</v>
      </c>
      <c r="AE191" s="13"/>
      <c r="AF191" s="56"/>
      <c r="AG191" s="17"/>
      <c r="AH191" s="12" t="s">
        <v>17</v>
      </c>
      <c r="AI191" s="13"/>
      <c r="AJ191" s="13" t="s">
        <v>8</v>
      </c>
      <c r="AK191" s="13"/>
      <c r="AL191" s="56"/>
      <c r="AM191" s="17"/>
      <c r="AN191" s="12" t="s">
        <v>17</v>
      </c>
      <c r="AO191" s="13"/>
      <c r="AP191" s="13" t="s">
        <v>8</v>
      </c>
      <c r="AQ191" s="13"/>
      <c r="AR191" s="13"/>
    </row>
    <row r="192" spans="1:65" ht="19.5" customHeight="1" x14ac:dyDescent="0.25">
      <c r="A192" s="621"/>
      <c r="B192" s="621"/>
      <c r="C192" s="621"/>
      <c r="D192" s="621"/>
      <c r="E192" s="621"/>
      <c r="F192" s="621"/>
      <c r="G192" s="621"/>
      <c r="H192" s="621"/>
      <c r="I192" s="621"/>
      <c r="J192" s="12" t="s">
        <v>18</v>
      </c>
      <c r="K192" s="13"/>
      <c r="L192" s="13" t="s">
        <v>16</v>
      </c>
      <c r="M192" s="13"/>
      <c r="N192" s="56"/>
      <c r="O192" s="17"/>
      <c r="P192" s="12" t="s">
        <v>18</v>
      </c>
      <c r="Q192" s="13"/>
      <c r="R192" s="13" t="s">
        <v>16</v>
      </c>
      <c r="S192" s="13"/>
      <c r="T192" s="56"/>
      <c r="U192" s="17"/>
      <c r="V192" s="12" t="s">
        <v>18</v>
      </c>
      <c r="W192" s="13"/>
      <c r="X192" s="13" t="s">
        <v>16</v>
      </c>
      <c r="Y192" s="13"/>
      <c r="Z192" s="56"/>
      <c r="AA192" s="17"/>
      <c r="AB192" s="12" t="s">
        <v>18</v>
      </c>
      <c r="AC192" s="13"/>
      <c r="AD192" s="13"/>
      <c r="AE192" s="13"/>
      <c r="AF192" s="56"/>
      <c r="AG192" s="17"/>
      <c r="AH192" s="12" t="s">
        <v>18</v>
      </c>
      <c r="AI192" s="13"/>
      <c r="AJ192" s="13"/>
      <c r="AK192" s="13"/>
      <c r="AL192" s="56"/>
      <c r="AM192" s="17"/>
      <c r="AN192" s="12" t="s">
        <v>18</v>
      </c>
      <c r="AO192" s="13"/>
      <c r="AP192" s="13"/>
      <c r="AQ192" s="13"/>
      <c r="AR192" s="13"/>
    </row>
    <row r="193" spans="1:65" ht="53.25" customHeight="1" x14ac:dyDescent="0.25">
      <c r="A193" s="621"/>
      <c r="B193" s="621"/>
      <c r="C193" s="621"/>
      <c r="D193" s="621"/>
      <c r="E193" s="621"/>
      <c r="F193" s="621"/>
      <c r="G193" s="621"/>
      <c r="H193" s="621"/>
      <c r="I193" s="621"/>
      <c r="J193" s="12" t="s">
        <v>46</v>
      </c>
      <c r="K193" s="13"/>
      <c r="L193" s="13" t="s">
        <v>16</v>
      </c>
      <c r="M193" s="13"/>
      <c r="N193" s="56"/>
      <c r="O193" s="57"/>
      <c r="P193" s="12" t="s">
        <v>46</v>
      </c>
      <c r="Q193" s="13"/>
      <c r="R193" s="13" t="s">
        <v>16</v>
      </c>
      <c r="S193" s="13"/>
      <c r="T193" s="56"/>
      <c r="U193" s="57"/>
      <c r="V193" s="12" t="s">
        <v>46</v>
      </c>
      <c r="W193" s="13"/>
      <c r="X193" s="13" t="s">
        <v>16</v>
      </c>
      <c r="Y193" s="13"/>
      <c r="Z193" s="56"/>
      <c r="AA193" s="57"/>
      <c r="AB193" s="12" t="s">
        <v>46</v>
      </c>
      <c r="AC193" s="13"/>
      <c r="AD193" s="13" t="s">
        <v>16</v>
      </c>
      <c r="AE193" s="13"/>
      <c r="AF193" s="56"/>
      <c r="AG193" s="57"/>
      <c r="AH193" s="12" t="s">
        <v>46</v>
      </c>
      <c r="AI193" s="13"/>
      <c r="AJ193" s="13" t="s">
        <v>16</v>
      </c>
      <c r="AK193" s="13"/>
      <c r="AL193" s="56"/>
      <c r="AM193" s="57"/>
      <c r="AN193" s="12" t="s">
        <v>46</v>
      </c>
      <c r="AO193" s="13"/>
      <c r="AP193" s="13" t="s">
        <v>16</v>
      </c>
      <c r="AQ193" s="13"/>
      <c r="AR193" s="13"/>
    </row>
    <row r="194" spans="1:65" ht="27.75" customHeight="1" x14ac:dyDescent="0.25">
      <c r="A194" s="621"/>
      <c r="B194" s="621"/>
      <c r="C194" s="621"/>
      <c r="D194" s="621"/>
      <c r="E194" s="621"/>
      <c r="F194" s="621"/>
      <c r="G194" s="621"/>
      <c r="H194" s="621"/>
      <c r="I194" s="621"/>
      <c r="J194" s="12" t="s">
        <v>106</v>
      </c>
      <c r="K194" s="13"/>
      <c r="L194" s="13" t="s">
        <v>8</v>
      </c>
      <c r="M194" s="13"/>
      <c r="N194" s="56"/>
      <c r="O194" s="57"/>
      <c r="P194" s="12" t="s">
        <v>106</v>
      </c>
      <c r="Q194" s="13"/>
      <c r="R194" s="13" t="s">
        <v>8</v>
      </c>
      <c r="S194" s="13"/>
      <c r="T194" s="56"/>
      <c r="U194" s="57"/>
      <c r="V194" s="12" t="s">
        <v>106</v>
      </c>
      <c r="W194" s="13"/>
      <c r="X194" s="13" t="s">
        <v>8</v>
      </c>
      <c r="Y194" s="13"/>
      <c r="Z194" s="56"/>
      <c r="AA194" s="57"/>
      <c r="AB194" s="12"/>
      <c r="AC194" s="13"/>
      <c r="AD194" s="13"/>
      <c r="AE194" s="13"/>
      <c r="AF194" s="56"/>
      <c r="AG194" s="57"/>
      <c r="AH194" s="12"/>
      <c r="AI194" s="13"/>
      <c r="AJ194" s="13"/>
      <c r="AK194" s="13"/>
      <c r="AL194" s="56"/>
      <c r="AM194" s="57"/>
      <c r="AN194" s="12"/>
      <c r="AO194" s="13"/>
      <c r="AP194" s="13"/>
      <c r="AQ194" s="13"/>
      <c r="AR194" s="13"/>
    </row>
    <row r="195" spans="1:65" ht="48.75" customHeight="1" x14ac:dyDescent="0.25">
      <c r="A195" s="621"/>
      <c r="B195" s="621"/>
      <c r="C195" s="621"/>
      <c r="D195" s="621"/>
      <c r="E195" s="621"/>
      <c r="F195" s="621"/>
      <c r="G195" s="621"/>
      <c r="H195" s="621"/>
      <c r="I195" s="621"/>
      <c r="J195" s="12" t="s">
        <v>107</v>
      </c>
      <c r="K195" s="13"/>
      <c r="L195" s="13" t="s">
        <v>8</v>
      </c>
      <c r="M195" s="13"/>
      <c r="N195" s="56"/>
      <c r="O195" s="57"/>
      <c r="P195" s="12" t="s">
        <v>107</v>
      </c>
      <c r="Q195" s="13"/>
      <c r="R195" s="13" t="s">
        <v>8</v>
      </c>
      <c r="S195" s="13"/>
      <c r="T195" s="56"/>
      <c r="U195" s="57"/>
      <c r="V195" s="12" t="s">
        <v>107</v>
      </c>
      <c r="W195" s="13"/>
      <c r="X195" s="13" t="s">
        <v>8</v>
      </c>
      <c r="Y195" s="13"/>
      <c r="Z195" s="56"/>
      <c r="AA195" s="57"/>
      <c r="AB195" s="12"/>
      <c r="AC195" s="13"/>
      <c r="AD195" s="13"/>
      <c r="AE195" s="13"/>
      <c r="AF195" s="56"/>
      <c r="AG195" s="57"/>
      <c r="AH195" s="12"/>
      <c r="AI195" s="13"/>
      <c r="AJ195" s="13"/>
      <c r="AK195" s="13"/>
      <c r="AL195" s="56"/>
      <c r="AM195" s="57"/>
      <c r="AN195" s="12"/>
      <c r="AO195" s="13"/>
      <c r="AP195" s="13"/>
      <c r="AQ195" s="13"/>
      <c r="AR195" s="13"/>
    </row>
    <row r="196" spans="1:65" ht="54.75" customHeight="1" x14ac:dyDescent="0.25">
      <c r="A196" s="621"/>
      <c r="B196" s="621"/>
      <c r="C196" s="621"/>
      <c r="D196" s="621"/>
      <c r="E196" s="621"/>
      <c r="F196" s="621"/>
      <c r="G196" s="621"/>
      <c r="H196" s="621"/>
      <c r="I196" s="621"/>
      <c r="J196" s="12" t="s">
        <v>108</v>
      </c>
      <c r="K196" s="13"/>
      <c r="L196" s="13" t="s">
        <v>8</v>
      </c>
      <c r="M196" s="13"/>
      <c r="N196" s="56"/>
      <c r="O196" s="57"/>
      <c r="P196" s="12" t="s">
        <v>108</v>
      </c>
      <c r="Q196" s="13"/>
      <c r="R196" s="13" t="s">
        <v>8</v>
      </c>
      <c r="S196" s="13"/>
      <c r="T196" s="56"/>
      <c r="U196" s="57"/>
      <c r="V196" s="12" t="s">
        <v>108</v>
      </c>
      <c r="W196" s="13"/>
      <c r="X196" s="13" t="s">
        <v>8</v>
      </c>
      <c r="Y196" s="13"/>
      <c r="Z196" s="56"/>
      <c r="AA196" s="57"/>
      <c r="AB196" s="12"/>
      <c r="AC196" s="13"/>
      <c r="AD196" s="13"/>
      <c r="AE196" s="13"/>
      <c r="AF196" s="56"/>
      <c r="AG196" s="57"/>
      <c r="AH196" s="12"/>
      <c r="AI196" s="13"/>
      <c r="AJ196" s="13"/>
      <c r="AK196" s="13"/>
      <c r="AL196" s="56"/>
      <c r="AM196" s="57"/>
      <c r="AN196" s="12"/>
      <c r="AO196" s="13"/>
      <c r="AP196" s="13"/>
      <c r="AQ196" s="13"/>
      <c r="AR196" s="13"/>
    </row>
    <row r="197" spans="1:65" ht="47.25" customHeight="1" x14ac:dyDescent="0.25">
      <c r="A197" s="621"/>
      <c r="B197" s="621"/>
      <c r="C197" s="621"/>
      <c r="D197" s="621"/>
      <c r="E197" s="621"/>
      <c r="F197" s="621"/>
      <c r="G197" s="621"/>
      <c r="H197" s="621"/>
      <c r="I197" s="621"/>
      <c r="J197" s="12" t="s">
        <v>109</v>
      </c>
      <c r="K197" s="13"/>
      <c r="L197" s="13" t="s">
        <v>14</v>
      </c>
      <c r="M197" s="13"/>
      <c r="N197" s="56"/>
      <c r="O197" s="57"/>
      <c r="P197" s="12" t="s">
        <v>109</v>
      </c>
      <c r="Q197" s="13"/>
      <c r="R197" s="13" t="s">
        <v>14</v>
      </c>
      <c r="S197" s="13"/>
      <c r="T197" s="56"/>
      <c r="U197" s="57"/>
      <c r="V197" s="12" t="s">
        <v>109</v>
      </c>
      <c r="W197" s="13"/>
      <c r="X197" s="13" t="s">
        <v>14</v>
      </c>
      <c r="Y197" s="13"/>
      <c r="Z197" s="56"/>
      <c r="AA197" s="57"/>
      <c r="AB197" s="12"/>
      <c r="AC197" s="13"/>
      <c r="AD197" s="13"/>
      <c r="AE197" s="13"/>
      <c r="AF197" s="56"/>
      <c r="AG197" s="57"/>
      <c r="AH197" s="12"/>
      <c r="AI197" s="13"/>
      <c r="AJ197" s="13"/>
      <c r="AK197" s="13"/>
      <c r="AL197" s="56"/>
      <c r="AM197" s="57"/>
      <c r="AN197" s="12"/>
      <c r="AO197" s="13"/>
      <c r="AP197" s="13"/>
      <c r="AQ197" s="13"/>
      <c r="AR197" s="13"/>
    </row>
    <row r="198" spans="1:65" ht="48" customHeight="1" x14ac:dyDescent="0.25">
      <c r="A198" s="621"/>
      <c r="B198" s="621"/>
      <c r="C198" s="621"/>
      <c r="D198" s="621"/>
      <c r="E198" s="621"/>
      <c r="F198" s="621"/>
      <c r="G198" s="621"/>
      <c r="H198" s="621"/>
      <c r="I198" s="621"/>
      <c r="J198" s="12" t="s">
        <v>110</v>
      </c>
      <c r="K198" s="13"/>
      <c r="L198" s="13" t="s">
        <v>16</v>
      </c>
      <c r="M198" s="13"/>
      <c r="N198" s="56"/>
      <c r="O198" s="57"/>
      <c r="P198" s="12" t="s">
        <v>110</v>
      </c>
      <c r="Q198" s="13"/>
      <c r="R198" s="13" t="s">
        <v>16</v>
      </c>
      <c r="S198" s="13"/>
      <c r="T198" s="56"/>
      <c r="U198" s="57"/>
      <c r="V198" s="12" t="s">
        <v>110</v>
      </c>
      <c r="W198" s="13"/>
      <c r="X198" s="13" t="s">
        <v>16</v>
      </c>
      <c r="Y198" s="13"/>
      <c r="Z198" s="56"/>
      <c r="AA198" s="57"/>
      <c r="AB198" s="12"/>
      <c r="AC198" s="13"/>
      <c r="AD198" s="13"/>
      <c r="AE198" s="13"/>
      <c r="AF198" s="56"/>
      <c r="AG198" s="57"/>
      <c r="AH198" s="12"/>
      <c r="AI198" s="13"/>
      <c r="AJ198" s="13"/>
      <c r="AK198" s="13"/>
      <c r="AL198" s="56"/>
      <c r="AM198" s="57"/>
      <c r="AN198" s="12"/>
      <c r="AO198" s="13"/>
      <c r="AP198" s="13"/>
      <c r="AQ198" s="13"/>
      <c r="AR198" s="13"/>
    </row>
    <row r="199" spans="1:65" ht="78.75" customHeight="1" x14ac:dyDescent="0.25">
      <c r="A199" s="621"/>
      <c r="B199" s="621"/>
      <c r="C199" s="621"/>
      <c r="D199" s="621"/>
      <c r="E199" s="621"/>
      <c r="F199" s="621"/>
      <c r="G199" s="621"/>
      <c r="H199" s="621"/>
      <c r="I199" s="621"/>
      <c r="J199" s="12" t="s">
        <v>111</v>
      </c>
      <c r="K199" s="13"/>
      <c r="L199" s="13" t="s">
        <v>14</v>
      </c>
      <c r="M199" s="13"/>
      <c r="N199" s="56"/>
      <c r="O199" s="57"/>
      <c r="P199" s="12" t="s">
        <v>111</v>
      </c>
      <c r="Q199" s="13"/>
      <c r="R199" s="13" t="s">
        <v>14</v>
      </c>
      <c r="S199" s="13"/>
      <c r="T199" s="56"/>
      <c r="U199" s="57"/>
      <c r="V199" s="12" t="s">
        <v>111</v>
      </c>
      <c r="W199" s="13"/>
      <c r="X199" s="13" t="s">
        <v>14</v>
      </c>
      <c r="Y199" s="13"/>
      <c r="Z199" s="56"/>
      <c r="AA199" s="57"/>
      <c r="AB199" s="12"/>
      <c r="AC199" s="13"/>
      <c r="AD199" s="13"/>
      <c r="AE199" s="13"/>
      <c r="AF199" s="56"/>
      <c r="AG199" s="57"/>
      <c r="AH199" s="12"/>
      <c r="AI199" s="13"/>
      <c r="AJ199" s="13"/>
      <c r="AK199" s="13"/>
      <c r="AL199" s="56"/>
      <c r="AM199" s="57"/>
      <c r="AN199" s="12"/>
      <c r="AO199" s="13"/>
      <c r="AP199" s="13"/>
      <c r="AQ199" s="13"/>
      <c r="AR199" s="13"/>
    </row>
    <row r="200" spans="1:65" ht="21" customHeight="1" x14ac:dyDescent="0.25">
      <c r="A200" s="621"/>
      <c r="B200" s="621"/>
      <c r="C200" s="621"/>
      <c r="D200" s="621"/>
      <c r="E200" s="621"/>
      <c r="F200" s="621"/>
      <c r="G200" s="621"/>
      <c r="H200" s="621"/>
      <c r="I200" s="621"/>
      <c r="J200" s="12" t="s">
        <v>45</v>
      </c>
      <c r="K200" s="13"/>
      <c r="L200" s="13"/>
      <c r="M200" s="13"/>
      <c r="N200" s="56"/>
      <c r="O200" s="57"/>
      <c r="P200" s="12" t="s">
        <v>45</v>
      </c>
      <c r="Q200" s="13"/>
      <c r="R200" s="13"/>
      <c r="S200" s="13"/>
      <c r="T200" s="56"/>
      <c r="U200" s="57"/>
      <c r="V200" s="12" t="s">
        <v>45</v>
      </c>
      <c r="W200" s="13"/>
      <c r="X200" s="13"/>
      <c r="Y200" s="13"/>
      <c r="Z200" s="56"/>
      <c r="AA200" s="57"/>
      <c r="AB200" s="12" t="s">
        <v>45</v>
      </c>
      <c r="AC200" s="13"/>
      <c r="AD200" s="13"/>
      <c r="AE200" s="13"/>
      <c r="AF200" s="56"/>
      <c r="AG200" s="57"/>
      <c r="AH200" s="12" t="s">
        <v>45</v>
      </c>
      <c r="AI200" s="13"/>
      <c r="AJ200" s="13"/>
      <c r="AK200" s="13"/>
      <c r="AL200" s="56"/>
      <c r="AM200" s="57"/>
      <c r="AN200" s="12" t="s">
        <v>45</v>
      </c>
      <c r="AO200" s="13"/>
      <c r="AP200" s="13"/>
      <c r="AQ200" s="13"/>
      <c r="AR200" s="13"/>
    </row>
    <row r="201" spans="1:65" ht="15" customHeight="1" x14ac:dyDescent="0.25">
      <c r="A201" s="450" t="s">
        <v>19</v>
      </c>
      <c r="B201" s="451"/>
      <c r="C201" s="451"/>
      <c r="D201" s="451"/>
      <c r="E201" s="451"/>
      <c r="F201" s="451"/>
      <c r="G201" s="451"/>
      <c r="H201" s="451"/>
      <c r="I201" s="451"/>
      <c r="J201" s="451"/>
      <c r="K201" s="451"/>
      <c r="L201" s="451"/>
      <c r="M201" s="451"/>
      <c r="N201" s="451"/>
      <c r="O201" s="451"/>
      <c r="P201" s="451"/>
      <c r="Q201" s="451"/>
      <c r="R201" s="451"/>
      <c r="S201" s="451"/>
      <c r="T201" s="451"/>
      <c r="U201" s="451"/>
      <c r="V201" s="451"/>
      <c r="W201" s="451"/>
      <c r="X201" s="451"/>
      <c r="Y201" s="451"/>
      <c r="Z201" s="451"/>
      <c r="AA201" s="451"/>
      <c r="AB201" s="451"/>
      <c r="AC201" s="451"/>
      <c r="AD201" s="451"/>
      <c r="AE201" s="451"/>
      <c r="AF201" s="451"/>
      <c r="AG201" s="451"/>
      <c r="AH201" s="451"/>
      <c r="AI201" s="451"/>
      <c r="AJ201" s="451"/>
      <c r="AK201" s="451"/>
      <c r="AL201" s="451"/>
      <c r="AM201" s="451"/>
      <c r="AN201" s="451"/>
      <c r="AO201" s="451"/>
      <c r="AP201" s="451"/>
      <c r="AQ201" s="451"/>
      <c r="AR201" s="452"/>
    </row>
    <row r="202" spans="1:65" ht="15" customHeight="1" x14ac:dyDescent="0.25">
      <c r="A202" s="624" t="s">
        <v>102</v>
      </c>
      <c r="B202" s="624"/>
      <c r="C202" s="624"/>
      <c r="D202" s="624"/>
      <c r="E202" s="624"/>
      <c r="F202" s="624"/>
      <c r="G202" s="624"/>
      <c r="H202" s="624"/>
      <c r="I202" s="624"/>
      <c r="J202" s="624"/>
      <c r="K202" s="624"/>
      <c r="L202" s="624"/>
      <c r="M202" s="624"/>
      <c r="N202" s="624"/>
      <c r="O202" s="624"/>
      <c r="P202" s="624"/>
      <c r="Q202" s="624"/>
      <c r="R202" s="624"/>
      <c r="S202" s="624"/>
      <c r="T202" s="68"/>
      <c r="U202" s="68"/>
      <c r="V202" s="68"/>
      <c r="W202" s="68"/>
      <c r="X202" s="280"/>
      <c r="Y202" s="68"/>
      <c r="Z202" s="68"/>
      <c r="AA202" s="68"/>
      <c r="AB202" s="68"/>
      <c r="AC202" s="68"/>
      <c r="AD202" s="280"/>
      <c r="AE202" s="68"/>
      <c r="AF202" s="68"/>
      <c r="AG202" s="68"/>
      <c r="AH202" s="68"/>
      <c r="AI202" s="68"/>
      <c r="AJ202" s="280"/>
      <c r="AK202" s="68"/>
      <c r="AL202" s="68"/>
      <c r="AM202" s="68"/>
      <c r="AN202" s="68"/>
      <c r="AO202" s="68"/>
      <c r="AP202" s="280"/>
      <c r="AQ202" s="68"/>
      <c r="AR202" s="68"/>
    </row>
    <row r="203" spans="1:65" ht="15" customHeight="1" x14ac:dyDescent="0.25">
      <c r="A203" s="280">
        <v>1</v>
      </c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80"/>
      <c r="O203" s="280"/>
      <c r="P203" s="280"/>
      <c r="Q203" s="280"/>
      <c r="R203" s="280"/>
      <c r="S203" s="280"/>
      <c r="T203" s="280"/>
      <c r="U203" s="280"/>
      <c r="V203" s="280"/>
      <c r="W203" s="280"/>
      <c r="X203" s="280"/>
      <c r="Y203" s="28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</row>
    <row r="204" spans="1:65" ht="15" customHeight="1" x14ac:dyDescent="0.25">
      <c r="A204" s="280">
        <v>2</v>
      </c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80"/>
      <c r="O204" s="280"/>
      <c r="P204" s="280"/>
      <c r="Q204" s="280"/>
      <c r="R204" s="280"/>
      <c r="S204" s="280"/>
      <c r="T204" s="280"/>
      <c r="U204" s="280"/>
      <c r="V204" s="280"/>
      <c r="W204" s="280"/>
      <c r="X204" s="280"/>
      <c r="Y204" s="28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</row>
    <row r="205" spans="1:65" ht="15" customHeight="1" x14ac:dyDescent="0.25">
      <c r="A205" s="280">
        <v>3</v>
      </c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80"/>
      <c r="O205" s="280"/>
      <c r="P205" s="280"/>
      <c r="Q205" s="280"/>
      <c r="R205" s="280"/>
      <c r="S205" s="280"/>
      <c r="T205" s="280"/>
      <c r="U205" s="280"/>
      <c r="V205" s="280"/>
      <c r="W205" s="280"/>
      <c r="X205" s="280"/>
      <c r="Y205" s="28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</row>
    <row r="206" spans="1:65" s="109" customFormat="1" ht="44.25" customHeight="1" x14ac:dyDescent="0.25">
      <c r="A206" s="436" t="s">
        <v>98</v>
      </c>
      <c r="B206" s="437"/>
      <c r="C206" s="437"/>
      <c r="D206" s="99"/>
      <c r="E206" s="99"/>
      <c r="F206" s="99"/>
      <c r="G206" s="99"/>
      <c r="H206" s="99"/>
      <c r="I206" s="99"/>
      <c r="J206" s="99"/>
      <c r="K206" s="99"/>
      <c r="L206" s="103"/>
      <c r="M206" s="99"/>
      <c r="N206" s="99"/>
      <c r="O206" s="99"/>
      <c r="P206" s="99"/>
      <c r="Q206" s="99"/>
      <c r="R206" s="103"/>
      <c r="S206" s="99"/>
      <c r="T206" s="99"/>
      <c r="U206" s="99"/>
      <c r="V206" s="99"/>
      <c r="W206" s="99"/>
      <c r="X206" s="103"/>
      <c r="Y206" s="99"/>
      <c r="Z206" s="99"/>
      <c r="AA206" s="99"/>
      <c r="AB206" s="99"/>
      <c r="AC206" s="99"/>
      <c r="AD206" s="103"/>
      <c r="AE206" s="99"/>
      <c r="AF206" s="99"/>
      <c r="AG206" s="99"/>
      <c r="AH206" s="99"/>
      <c r="AI206" s="99"/>
      <c r="AJ206" s="103"/>
      <c r="AK206" s="99"/>
      <c r="AL206" s="99"/>
      <c r="AM206" s="99"/>
      <c r="AN206" s="99"/>
      <c r="AO206" s="99"/>
      <c r="AP206" s="103"/>
      <c r="AQ206" s="99"/>
      <c r="AR206" s="99"/>
      <c r="AS206" s="108"/>
      <c r="AT206" s="108"/>
      <c r="AU206" s="108"/>
      <c r="AV206" s="108"/>
      <c r="AW206" s="108"/>
      <c r="AX206" s="108"/>
      <c r="AY206" s="108"/>
      <c r="AZ206" s="108"/>
      <c r="BA206" s="108"/>
      <c r="BB206" s="108"/>
      <c r="BC206" s="108"/>
      <c r="BD206" s="108"/>
      <c r="BE206" s="108"/>
      <c r="BF206" s="108"/>
      <c r="BG206" s="108"/>
      <c r="BH206" s="108"/>
      <c r="BI206" s="108"/>
      <c r="BJ206" s="108"/>
      <c r="BK206" s="108"/>
      <c r="BL206" s="108"/>
      <c r="BM206" s="108"/>
    </row>
    <row r="207" spans="1:65" s="124" customFormat="1" x14ac:dyDescent="0.25">
      <c r="A207" s="477" t="s">
        <v>96</v>
      </c>
      <c r="B207" s="477"/>
      <c r="C207" s="477"/>
      <c r="D207" s="477"/>
      <c r="E207" s="477"/>
      <c r="F207" s="477"/>
      <c r="G207" s="477"/>
      <c r="H207" s="477"/>
      <c r="I207" s="477"/>
      <c r="J207" s="467" t="s">
        <v>11</v>
      </c>
      <c r="K207" s="22"/>
      <c r="L207" s="22" t="s">
        <v>5</v>
      </c>
      <c r="M207" s="22"/>
      <c r="N207" s="66"/>
      <c r="O207" s="25"/>
      <c r="P207" s="467" t="s">
        <v>11</v>
      </c>
      <c r="Q207" s="22"/>
      <c r="R207" s="22" t="s">
        <v>5</v>
      </c>
      <c r="S207" s="22"/>
      <c r="T207" s="66"/>
      <c r="U207" s="25"/>
      <c r="V207" s="467" t="s">
        <v>11</v>
      </c>
      <c r="W207" s="22"/>
      <c r="X207" s="22" t="s">
        <v>5</v>
      </c>
      <c r="Y207" s="22"/>
      <c r="Z207" s="66"/>
      <c r="AA207" s="25"/>
      <c r="AB207" s="467" t="s">
        <v>11</v>
      </c>
      <c r="AC207" s="22"/>
      <c r="AD207" s="22" t="s">
        <v>5</v>
      </c>
      <c r="AE207" s="22"/>
      <c r="AF207" s="66"/>
      <c r="AG207" s="25"/>
      <c r="AH207" s="467" t="s">
        <v>11</v>
      </c>
      <c r="AI207" s="22"/>
      <c r="AJ207" s="22" t="s">
        <v>5</v>
      </c>
      <c r="AK207" s="22"/>
      <c r="AL207" s="66"/>
      <c r="AM207" s="25"/>
      <c r="AN207" s="467" t="s">
        <v>11</v>
      </c>
      <c r="AO207" s="22"/>
      <c r="AP207" s="22" t="s">
        <v>5</v>
      </c>
      <c r="AQ207" s="22"/>
      <c r="AR207" s="22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</row>
    <row r="208" spans="1:65" s="124" customFormat="1" x14ac:dyDescent="0.25">
      <c r="A208" s="477"/>
      <c r="B208" s="477"/>
      <c r="C208" s="477"/>
      <c r="D208" s="477"/>
      <c r="E208" s="477"/>
      <c r="F208" s="477"/>
      <c r="G208" s="477"/>
      <c r="H208" s="477"/>
      <c r="I208" s="477"/>
      <c r="J208" s="468"/>
      <c r="K208" s="22"/>
      <c r="L208" s="22" t="s">
        <v>8</v>
      </c>
      <c r="M208" s="22"/>
      <c r="N208" s="60"/>
      <c r="O208" s="27"/>
      <c r="P208" s="468"/>
      <c r="Q208" s="22"/>
      <c r="R208" s="22" t="s">
        <v>8</v>
      </c>
      <c r="S208" s="22"/>
      <c r="T208" s="60"/>
      <c r="U208" s="27"/>
      <c r="V208" s="468"/>
      <c r="W208" s="22"/>
      <c r="X208" s="22" t="s">
        <v>8</v>
      </c>
      <c r="Y208" s="22"/>
      <c r="Z208" s="60"/>
      <c r="AA208" s="27"/>
      <c r="AB208" s="468"/>
      <c r="AC208" s="22"/>
      <c r="AD208" s="22" t="s">
        <v>8</v>
      </c>
      <c r="AE208" s="22"/>
      <c r="AF208" s="60"/>
      <c r="AG208" s="27"/>
      <c r="AH208" s="468"/>
      <c r="AI208" s="22"/>
      <c r="AJ208" s="22" t="s">
        <v>8</v>
      </c>
      <c r="AK208" s="22"/>
      <c r="AL208" s="60"/>
      <c r="AM208" s="27"/>
      <c r="AN208" s="468"/>
      <c r="AO208" s="22"/>
      <c r="AP208" s="22" t="s">
        <v>8</v>
      </c>
      <c r="AQ208" s="22"/>
      <c r="AR208" s="22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</row>
    <row r="209" spans="1:65" s="124" customFormat="1" x14ac:dyDescent="0.25">
      <c r="A209" s="477"/>
      <c r="B209" s="477"/>
      <c r="C209" s="477"/>
      <c r="D209" s="477"/>
      <c r="E209" s="477"/>
      <c r="F209" s="477"/>
      <c r="G209" s="477"/>
      <c r="H209" s="477"/>
      <c r="I209" s="477"/>
      <c r="J209" s="467" t="s">
        <v>41</v>
      </c>
      <c r="K209" s="22"/>
      <c r="L209" s="22" t="s">
        <v>5</v>
      </c>
      <c r="M209" s="22"/>
      <c r="N209" s="60"/>
      <c r="O209" s="27"/>
      <c r="P209" s="467" t="s">
        <v>41</v>
      </c>
      <c r="Q209" s="22"/>
      <c r="R209" s="22" t="s">
        <v>5</v>
      </c>
      <c r="S209" s="22"/>
      <c r="T209" s="60"/>
      <c r="U209" s="27"/>
      <c r="V209" s="467" t="s">
        <v>41</v>
      </c>
      <c r="W209" s="22"/>
      <c r="X209" s="22" t="s">
        <v>5</v>
      </c>
      <c r="Y209" s="22"/>
      <c r="Z209" s="60"/>
      <c r="AA209" s="27"/>
      <c r="AB209" s="467" t="s">
        <v>41</v>
      </c>
      <c r="AC209" s="22"/>
      <c r="AD209" s="22" t="s">
        <v>5</v>
      </c>
      <c r="AE209" s="22"/>
      <c r="AF209" s="60"/>
      <c r="AG209" s="27"/>
      <c r="AH209" s="467" t="s">
        <v>41</v>
      </c>
      <c r="AI209" s="22"/>
      <c r="AJ209" s="22" t="s">
        <v>5</v>
      </c>
      <c r="AK209" s="22"/>
      <c r="AL209" s="60"/>
      <c r="AM209" s="27"/>
      <c r="AN209" s="467" t="s">
        <v>41</v>
      </c>
      <c r="AO209" s="22"/>
      <c r="AP209" s="22" t="s">
        <v>5</v>
      </c>
      <c r="AQ209" s="22"/>
      <c r="AR209" s="22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</row>
    <row r="210" spans="1:65" s="124" customFormat="1" x14ac:dyDescent="0.25">
      <c r="A210" s="477"/>
      <c r="B210" s="477"/>
      <c r="C210" s="477"/>
      <c r="D210" s="477"/>
      <c r="E210" s="477"/>
      <c r="F210" s="477"/>
      <c r="G210" s="477"/>
      <c r="H210" s="477"/>
      <c r="I210" s="477"/>
      <c r="J210" s="468"/>
      <c r="K210" s="22"/>
      <c r="L210" s="22" t="s">
        <v>8</v>
      </c>
      <c r="M210" s="22"/>
      <c r="N210" s="60"/>
      <c r="O210" s="27"/>
      <c r="P210" s="468"/>
      <c r="Q210" s="22"/>
      <c r="R210" s="22" t="s">
        <v>8</v>
      </c>
      <c r="S210" s="22"/>
      <c r="T210" s="60"/>
      <c r="U210" s="27"/>
      <c r="V210" s="468"/>
      <c r="W210" s="22"/>
      <c r="X210" s="22" t="s">
        <v>8</v>
      </c>
      <c r="Y210" s="22"/>
      <c r="Z210" s="60"/>
      <c r="AA210" s="27"/>
      <c r="AB210" s="468"/>
      <c r="AC210" s="22"/>
      <c r="AD210" s="22" t="s">
        <v>8</v>
      </c>
      <c r="AE210" s="22"/>
      <c r="AF210" s="60"/>
      <c r="AG210" s="27"/>
      <c r="AH210" s="468"/>
      <c r="AI210" s="22"/>
      <c r="AJ210" s="22" t="s">
        <v>8</v>
      </c>
      <c r="AK210" s="22"/>
      <c r="AL210" s="60"/>
      <c r="AM210" s="27"/>
      <c r="AN210" s="468"/>
      <c r="AO210" s="22"/>
      <c r="AP210" s="22" t="s">
        <v>8</v>
      </c>
      <c r="AQ210" s="22"/>
      <c r="AR210" s="22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</row>
    <row r="211" spans="1:65" s="124" customFormat="1" x14ac:dyDescent="0.25">
      <c r="A211" s="477"/>
      <c r="B211" s="477"/>
      <c r="C211" s="477"/>
      <c r="D211" s="477"/>
      <c r="E211" s="477"/>
      <c r="F211" s="477"/>
      <c r="G211" s="477"/>
      <c r="H211" s="477"/>
      <c r="I211" s="477"/>
      <c r="J211" s="467" t="s">
        <v>42</v>
      </c>
      <c r="K211" s="22"/>
      <c r="L211" s="22" t="s">
        <v>5</v>
      </c>
      <c r="M211" s="22"/>
      <c r="N211" s="60"/>
      <c r="O211" s="27"/>
      <c r="P211" s="467" t="s">
        <v>42</v>
      </c>
      <c r="Q211" s="22"/>
      <c r="R211" s="22" t="s">
        <v>5</v>
      </c>
      <c r="S211" s="22"/>
      <c r="T211" s="60"/>
      <c r="U211" s="27"/>
      <c r="V211" s="467" t="s">
        <v>42</v>
      </c>
      <c r="W211" s="22"/>
      <c r="X211" s="22" t="s">
        <v>5</v>
      </c>
      <c r="Y211" s="22"/>
      <c r="Z211" s="60"/>
      <c r="AA211" s="27"/>
      <c r="AB211" s="467" t="s">
        <v>42</v>
      </c>
      <c r="AC211" s="22"/>
      <c r="AD211" s="22" t="s">
        <v>5</v>
      </c>
      <c r="AE211" s="22"/>
      <c r="AF211" s="60"/>
      <c r="AG211" s="27"/>
      <c r="AH211" s="467" t="s">
        <v>42</v>
      </c>
      <c r="AI211" s="22"/>
      <c r="AJ211" s="22" t="s">
        <v>5</v>
      </c>
      <c r="AK211" s="22"/>
      <c r="AL211" s="60"/>
      <c r="AM211" s="27"/>
      <c r="AN211" s="467" t="s">
        <v>42</v>
      </c>
      <c r="AO211" s="22"/>
      <c r="AP211" s="22" t="s">
        <v>5</v>
      </c>
      <c r="AQ211" s="22"/>
      <c r="AR211" s="22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</row>
    <row r="212" spans="1:65" s="124" customFormat="1" x14ac:dyDescent="0.25">
      <c r="A212" s="477"/>
      <c r="B212" s="477"/>
      <c r="C212" s="477"/>
      <c r="D212" s="477"/>
      <c r="E212" s="477"/>
      <c r="F212" s="477"/>
      <c r="G212" s="477"/>
      <c r="H212" s="477"/>
      <c r="I212" s="477"/>
      <c r="J212" s="468"/>
      <c r="K212" s="22"/>
      <c r="L212" s="22" t="s">
        <v>8</v>
      </c>
      <c r="M212" s="22"/>
      <c r="N212" s="60"/>
      <c r="O212" s="27"/>
      <c r="P212" s="468"/>
      <c r="Q212" s="22"/>
      <c r="R212" s="22" t="s">
        <v>8</v>
      </c>
      <c r="S212" s="22"/>
      <c r="T212" s="60"/>
      <c r="U212" s="27"/>
      <c r="V212" s="468"/>
      <c r="W212" s="22"/>
      <c r="X212" s="22" t="s">
        <v>8</v>
      </c>
      <c r="Y212" s="22"/>
      <c r="Z212" s="60"/>
      <c r="AA212" s="27"/>
      <c r="AB212" s="468"/>
      <c r="AC212" s="22"/>
      <c r="AD212" s="22" t="s">
        <v>8</v>
      </c>
      <c r="AE212" s="22"/>
      <c r="AF212" s="60"/>
      <c r="AG212" s="27"/>
      <c r="AH212" s="468"/>
      <c r="AI212" s="22"/>
      <c r="AJ212" s="22" t="s">
        <v>8</v>
      </c>
      <c r="AK212" s="22"/>
      <c r="AL212" s="60"/>
      <c r="AM212" s="27"/>
      <c r="AN212" s="468"/>
      <c r="AO212" s="22"/>
      <c r="AP212" s="22" t="s">
        <v>8</v>
      </c>
      <c r="AQ212" s="22"/>
      <c r="AR212" s="22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</row>
    <row r="213" spans="1:65" s="124" customFormat="1" x14ac:dyDescent="0.25">
      <c r="A213" s="477"/>
      <c r="B213" s="477"/>
      <c r="C213" s="477"/>
      <c r="D213" s="477"/>
      <c r="E213" s="477"/>
      <c r="F213" s="477"/>
      <c r="G213" s="477"/>
      <c r="H213" s="477"/>
      <c r="I213" s="477"/>
      <c r="J213" s="467" t="s">
        <v>43</v>
      </c>
      <c r="K213" s="22"/>
      <c r="L213" s="22" t="s">
        <v>5</v>
      </c>
      <c r="M213" s="22"/>
      <c r="N213" s="60"/>
      <c r="O213" s="27"/>
      <c r="P213" s="467" t="s">
        <v>43</v>
      </c>
      <c r="Q213" s="22"/>
      <c r="R213" s="22" t="s">
        <v>5</v>
      </c>
      <c r="S213" s="22"/>
      <c r="T213" s="60"/>
      <c r="U213" s="27"/>
      <c r="V213" s="467" t="s">
        <v>43</v>
      </c>
      <c r="W213" s="22"/>
      <c r="X213" s="22" t="s">
        <v>5</v>
      </c>
      <c r="Y213" s="22"/>
      <c r="Z213" s="60"/>
      <c r="AA213" s="27"/>
      <c r="AB213" s="467" t="s">
        <v>43</v>
      </c>
      <c r="AC213" s="22"/>
      <c r="AD213" s="22" t="s">
        <v>5</v>
      </c>
      <c r="AE213" s="22"/>
      <c r="AF213" s="60"/>
      <c r="AG213" s="27"/>
      <c r="AH213" s="467" t="s">
        <v>43</v>
      </c>
      <c r="AI213" s="22"/>
      <c r="AJ213" s="22" t="s">
        <v>5</v>
      </c>
      <c r="AK213" s="22"/>
      <c r="AL213" s="60"/>
      <c r="AM213" s="27"/>
      <c r="AN213" s="467" t="s">
        <v>43</v>
      </c>
      <c r="AO213" s="22"/>
      <c r="AP213" s="22" t="s">
        <v>5</v>
      </c>
      <c r="AQ213" s="22"/>
      <c r="AR213" s="22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</row>
    <row r="214" spans="1:65" s="124" customFormat="1" x14ac:dyDescent="0.25">
      <c r="A214" s="477"/>
      <c r="B214" s="477"/>
      <c r="C214" s="477"/>
      <c r="D214" s="477"/>
      <c r="E214" s="477"/>
      <c r="F214" s="477"/>
      <c r="G214" s="477"/>
      <c r="H214" s="477"/>
      <c r="I214" s="477"/>
      <c r="J214" s="468"/>
      <c r="K214" s="22"/>
      <c r="L214" s="22" t="s">
        <v>8</v>
      </c>
      <c r="M214" s="22"/>
      <c r="N214" s="60"/>
      <c r="O214" s="27"/>
      <c r="P214" s="468"/>
      <c r="Q214" s="22"/>
      <c r="R214" s="22" t="s">
        <v>8</v>
      </c>
      <c r="S214" s="22"/>
      <c r="T214" s="60"/>
      <c r="U214" s="27"/>
      <c r="V214" s="468"/>
      <c r="W214" s="22"/>
      <c r="X214" s="22" t="s">
        <v>8</v>
      </c>
      <c r="Y214" s="22"/>
      <c r="Z214" s="60"/>
      <c r="AA214" s="27"/>
      <c r="AB214" s="468"/>
      <c r="AC214" s="22"/>
      <c r="AD214" s="22" t="s">
        <v>8</v>
      </c>
      <c r="AE214" s="22"/>
      <c r="AF214" s="60"/>
      <c r="AG214" s="27"/>
      <c r="AH214" s="468"/>
      <c r="AI214" s="22"/>
      <c r="AJ214" s="22" t="s">
        <v>8</v>
      </c>
      <c r="AK214" s="22"/>
      <c r="AL214" s="60"/>
      <c r="AM214" s="27"/>
      <c r="AN214" s="468"/>
      <c r="AO214" s="22"/>
      <c r="AP214" s="22" t="s">
        <v>8</v>
      </c>
      <c r="AQ214" s="22"/>
      <c r="AR214" s="22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</row>
    <row r="215" spans="1:65" s="124" customFormat="1" ht="15" customHeight="1" x14ac:dyDescent="0.25">
      <c r="A215" s="477"/>
      <c r="B215" s="477"/>
      <c r="C215" s="477"/>
      <c r="D215" s="477"/>
      <c r="E215" s="477"/>
      <c r="F215" s="477"/>
      <c r="G215" s="477"/>
      <c r="H215" s="477"/>
      <c r="I215" s="477"/>
      <c r="J215" s="472" t="s">
        <v>12</v>
      </c>
      <c r="K215" s="22"/>
      <c r="L215" s="22" t="s">
        <v>8</v>
      </c>
      <c r="M215" s="472"/>
      <c r="N215" s="60"/>
      <c r="O215" s="27"/>
      <c r="P215" s="472" t="s">
        <v>12</v>
      </c>
      <c r="Q215" s="22"/>
      <c r="R215" s="22" t="s">
        <v>8</v>
      </c>
      <c r="S215" s="472"/>
      <c r="T215" s="60"/>
      <c r="U215" s="27"/>
      <c r="V215" s="472" t="s">
        <v>12</v>
      </c>
      <c r="W215" s="22"/>
      <c r="X215" s="22" t="s">
        <v>8</v>
      </c>
      <c r="Y215" s="472"/>
      <c r="Z215" s="60"/>
      <c r="AA215" s="27"/>
      <c r="AB215" s="472" t="s">
        <v>12</v>
      </c>
      <c r="AC215" s="22"/>
      <c r="AD215" s="22" t="s">
        <v>8</v>
      </c>
      <c r="AE215" s="472"/>
      <c r="AF215" s="60"/>
      <c r="AG215" s="27"/>
      <c r="AH215" s="472" t="s">
        <v>12</v>
      </c>
      <c r="AI215" s="22"/>
      <c r="AJ215" s="22" t="s">
        <v>8</v>
      </c>
      <c r="AK215" s="472"/>
      <c r="AL215" s="60"/>
      <c r="AM215" s="27"/>
      <c r="AN215" s="472" t="s">
        <v>12</v>
      </c>
      <c r="AO215" s="22"/>
      <c r="AP215" s="22" t="s">
        <v>8</v>
      </c>
      <c r="AQ215" s="472"/>
      <c r="AR215" s="472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</row>
    <row r="216" spans="1:65" s="124" customFormat="1" x14ac:dyDescent="0.25">
      <c r="A216" s="477"/>
      <c r="B216" s="477"/>
      <c r="C216" s="477"/>
      <c r="D216" s="477"/>
      <c r="E216" s="477"/>
      <c r="F216" s="477"/>
      <c r="G216" s="477"/>
      <c r="H216" s="477"/>
      <c r="I216" s="477"/>
      <c r="J216" s="473"/>
      <c r="K216" s="22"/>
      <c r="L216" s="22" t="s">
        <v>5</v>
      </c>
      <c r="M216" s="473"/>
      <c r="N216" s="60"/>
      <c r="O216" s="27"/>
      <c r="P216" s="473"/>
      <c r="Q216" s="22"/>
      <c r="R216" s="22" t="s">
        <v>5</v>
      </c>
      <c r="S216" s="473"/>
      <c r="T216" s="60"/>
      <c r="U216" s="27"/>
      <c r="V216" s="473"/>
      <c r="W216" s="22"/>
      <c r="X216" s="22" t="s">
        <v>5</v>
      </c>
      <c r="Y216" s="473"/>
      <c r="Z216" s="60"/>
      <c r="AA216" s="27"/>
      <c r="AB216" s="473"/>
      <c r="AC216" s="22"/>
      <c r="AD216" s="22" t="s">
        <v>5</v>
      </c>
      <c r="AE216" s="473"/>
      <c r="AF216" s="60"/>
      <c r="AG216" s="27"/>
      <c r="AH216" s="473"/>
      <c r="AI216" s="22"/>
      <c r="AJ216" s="22" t="s">
        <v>5</v>
      </c>
      <c r="AK216" s="473"/>
      <c r="AL216" s="60"/>
      <c r="AM216" s="27"/>
      <c r="AN216" s="473"/>
      <c r="AO216" s="22"/>
      <c r="AP216" s="22" t="s">
        <v>5</v>
      </c>
      <c r="AQ216" s="473"/>
      <c r="AR216" s="473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</row>
    <row r="217" spans="1:65" s="124" customFormat="1" ht="42.75" x14ac:dyDescent="0.25">
      <c r="A217" s="477"/>
      <c r="B217" s="477"/>
      <c r="C217" s="477"/>
      <c r="D217" s="477"/>
      <c r="E217" s="477"/>
      <c r="F217" s="477"/>
      <c r="G217" s="477"/>
      <c r="H217" s="477"/>
      <c r="I217" s="477"/>
      <c r="J217" s="21" t="s">
        <v>13</v>
      </c>
      <c r="K217" s="22"/>
      <c r="L217" s="22" t="s">
        <v>14</v>
      </c>
      <c r="M217" s="22"/>
      <c r="N217" s="60"/>
      <c r="O217" s="27"/>
      <c r="P217" s="21" t="s">
        <v>13</v>
      </c>
      <c r="Q217" s="22"/>
      <c r="R217" s="22" t="s">
        <v>14</v>
      </c>
      <c r="S217" s="22"/>
      <c r="T217" s="60"/>
      <c r="U217" s="27"/>
      <c r="V217" s="21" t="s">
        <v>13</v>
      </c>
      <c r="W217" s="22"/>
      <c r="X217" s="22" t="s">
        <v>14</v>
      </c>
      <c r="Y217" s="22"/>
      <c r="Z217" s="60"/>
      <c r="AA217" s="27"/>
      <c r="AB217" s="21" t="s">
        <v>13</v>
      </c>
      <c r="AC217" s="22"/>
      <c r="AD217" s="22" t="s">
        <v>14</v>
      </c>
      <c r="AE217" s="22"/>
      <c r="AF217" s="60"/>
      <c r="AG217" s="27"/>
      <c r="AH217" s="21" t="s">
        <v>13</v>
      </c>
      <c r="AI217" s="22"/>
      <c r="AJ217" s="22" t="s">
        <v>14</v>
      </c>
      <c r="AK217" s="22"/>
      <c r="AL217" s="60"/>
      <c r="AM217" s="27"/>
      <c r="AN217" s="21" t="s">
        <v>13</v>
      </c>
      <c r="AO217" s="22"/>
      <c r="AP217" s="22" t="s">
        <v>14</v>
      </c>
      <c r="AQ217" s="22"/>
      <c r="AR217" s="22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</row>
    <row r="218" spans="1:65" s="124" customFormat="1" ht="28.5" x14ac:dyDescent="0.25">
      <c r="A218" s="477"/>
      <c r="B218" s="477"/>
      <c r="C218" s="477"/>
      <c r="D218" s="477"/>
      <c r="E218" s="477"/>
      <c r="F218" s="477"/>
      <c r="G218" s="477"/>
      <c r="H218" s="477"/>
      <c r="I218" s="477"/>
      <c r="J218" s="21" t="s">
        <v>44</v>
      </c>
      <c r="K218" s="22"/>
      <c r="L218" s="22" t="s">
        <v>14</v>
      </c>
      <c r="M218" s="22"/>
      <c r="N218" s="60"/>
      <c r="O218" s="27"/>
      <c r="P218" s="21" t="s">
        <v>44</v>
      </c>
      <c r="Q218" s="22"/>
      <c r="R218" s="22" t="s">
        <v>14</v>
      </c>
      <c r="S218" s="22"/>
      <c r="T218" s="60"/>
      <c r="U218" s="27"/>
      <c r="V218" s="21" t="s">
        <v>44</v>
      </c>
      <c r="W218" s="22"/>
      <c r="X218" s="22" t="s">
        <v>14</v>
      </c>
      <c r="Y218" s="22"/>
      <c r="Z218" s="60"/>
      <c r="AA218" s="27"/>
      <c r="AB218" s="21" t="s">
        <v>44</v>
      </c>
      <c r="AC218" s="22"/>
      <c r="AD218" s="22" t="s">
        <v>14</v>
      </c>
      <c r="AE218" s="22"/>
      <c r="AF218" s="60"/>
      <c r="AG218" s="27"/>
      <c r="AH218" s="21" t="s">
        <v>44</v>
      </c>
      <c r="AI218" s="22"/>
      <c r="AJ218" s="22" t="s">
        <v>14</v>
      </c>
      <c r="AK218" s="22"/>
      <c r="AL218" s="60"/>
      <c r="AM218" s="27"/>
      <c r="AN218" s="21" t="s">
        <v>44</v>
      </c>
      <c r="AO218" s="22"/>
      <c r="AP218" s="22" t="s">
        <v>14</v>
      </c>
      <c r="AQ218" s="22"/>
      <c r="AR218" s="22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</row>
    <row r="219" spans="1:65" s="124" customFormat="1" ht="42.75" x14ac:dyDescent="0.25">
      <c r="A219" s="477"/>
      <c r="B219" s="477"/>
      <c r="C219" s="477"/>
      <c r="D219" s="477"/>
      <c r="E219" s="477"/>
      <c r="F219" s="477"/>
      <c r="G219" s="477"/>
      <c r="H219" s="477"/>
      <c r="I219" s="477"/>
      <c r="J219" s="21" t="s">
        <v>15</v>
      </c>
      <c r="K219" s="22"/>
      <c r="L219" s="22" t="s">
        <v>16</v>
      </c>
      <c r="M219" s="22"/>
      <c r="N219" s="60"/>
      <c r="O219" s="27"/>
      <c r="P219" s="21" t="s">
        <v>15</v>
      </c>
      <c r="Q219" s="22"/>
      <c r="R219" s="22" t="s">
        <v>16</v>
      </c>
      <c r="S219" s="22"/>
      <c r="T219" s="60"/>
      <c r="U219" s="27"/>
      <c r="V219" s="21" t="s">
        <v>15</v>
      </c>
      <c r="W219" s="22"/>
      <c r="X219" s="22" t="s">
        <v>16</v>
      </c>
      <c r="Y219" s="22"/>
      <c r="Z219" s="60"/>
      <c r="AA219" s="27"/>
      <c r="AB219" s="21" t="s">
        <v>15</v>
      </c>
      <c r="AC219" s="22"/>
      <c r="AD219" s="22" t="s">
        <v>16</v>
      </c>
      <c r="AE219" s="22"/>
      <c r="AF219" s="60"/>
      <c r="AG219" s="27"/>
      <c r="AH219" s="21" t="s">
        <v>15</v>
      </c>
      <c r="AI219" s="22"/>
      <c r="AJ219" s="22" t="s">
        <v>16</v>
      </c>
      <c r="AK219" s="22"/>
      <c r="AL219" s="60"/>
      <c r="AM219" s="27"/>
      <c r="AN219" s="21" t="s">
        <v>15</v>
      </c>
      <c r="AO219" s="22"/>
      <c r="AP219" s="22" t="s">
        <v>16</v>
      </c>
      <c r="AQ219" s="22"/>
      <c r="AR219" s="22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</row>
    <row r="220" spans="1:65" s="124" customFormat="1" ht="24.75" customHeight="1" x14ac:dyDescent="0.25">
      <c r="A220" s="477"/>
      <c r="B220" s="477"/>
      <c r="C220" s="477"/>
      <c r="D220" s="477"/>
      <c r="E220" s="477"/>
      <c r="F220" s="477"/>
      <c r="G220" s="477"/>
      <c r="H220" s="477"/>
      <c r="I220" s="477"/>
      <c r="J220" s="21" t="s">
        <v>17</v>
      </c>
      <c r="K220" s="22"/>
      <c r="L220" s="22" t="s">
        <v>8</v>
      </c>
      <c r="M220" s="22"/>
      <c r="N220" s="60"/>
      <c r="O220" s="27"/>
      <c r="P220" s="21" t="s">
        <v>17</v>
      </c>
      <c r="Q220" s="22"/>
      <c r="R220" s="22" t="s">
        <v>8</v>
      </c>
      <c r="S220" s="22"/>
      <c r="T220" s="60"/>
      <c r="U220" s="27"/>
      <c r="V220" s="21" t="s">
        <v>17</v>
      </c>
      <c r="W220" s="22"/>
      <c r="X220" s="22" t="s">
        <v>8</v>
      </c>
      <c r="Y220" s="22"/>
      <c r="Z220" s="60"/>
      <c r="AA220" s="27"/>
      <c r="AB220" s="21" t="s">
        <v>17</v>
      </c>
      <c r="AC220" s="22"/>
      <c r="AD220" s="22" t="s">
        <v>8</v>
      </c>
      <c r="AE220" s="22"/>
      <c r="AF220" s="60"/>
      <c r="AG220" s="27"/>
      <c r="AH220" s="21" t="s">
        <v>17</v>
      </c>
      <c r="AI220" s="22"/>
      <c r="AJ220" s="22" t="s">
        <v>8</v>
      </c>
      <c r="AK220" s="22"/>
      <c r="AL220" s="60"/>
      <c r="AM220" s="27"/>
      <c r="AN220" s="21" t="s">
        <v>17</v>
      </c>
      <c r="AO220" s="22"/>
      <c r="AP220" s="22" t="s">
        <v>8</v>
      </c>
      <c r="AQ220" s="22"/>
      <c r="AR220" s="22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</row>
    <row r="221" spans="1:65" s="124" customFormat="1" ht="28.5" x14ac:dyDescent="0.25">
      <c r="A221" s="477"/>
      <c r="B221" s="477"/>
      <c r="C221" s="477"/>
      <c r="D221" s="477"/>
      <c r="E221" s="477"/>
      <c r="F221" s="477"/>
      <c r="G221" s="477"/>
      <c r="H221" s="477"/>
      <c r="I221" s="477"/>
      <c r="J221" s="21" t="s">
        <v>18</v>
      </c>
      <c r="K221" s="22"/>
      <c r="L221" s="22" t="s">
        <v>16</v>
      </c>
      <c r="M221" s="22"/>
      <c r="N221" s="60"/>
      <c r="O221" s="27"/>
      <c r="P221" s="21" t="s">
        <v>18</v>
      </c>
      <c r="Q221" s="22"/>
      <c r="R221" s="22" t="s">
        <v>16</v>
      </c>
      <c r="S221" s="22"/>
      <c r="T221" s="60"/>
      <c r="U221" s="27"/>
      <c r="V221" s="21" t="s">
        <v>18</v>
      </c>
      <c r="W221" s="22"/>
      <c r="X221" s="22" t="s">
        <v>16</v>
      </c>
      <c r="Y221" s="22"/>
      <c r="Z221" s="60"/>
      <c r="AA221" s="27"/>
      <c r="AB221" s="21" t="s">
        <v>18</v>
      </c>
      <c r="AC221" s="22"/>
      <c r="AD221" s="22"/>
      <c r="AE221" s="22"/>
      <c r="AF221" s="60"/>
      <c r="AG221" s="27"/>
      <c r="AH221" s="21" t="s">
        <v>18</v>
      </c>
      <c r="AI221" s="22"/>
      <c r="AJ221" s="22"/>
      <c r="AK221" s="22"/>
      <c r="AL221" s="60"/>
      <c r="AM221" s="27"/>
      <c r="AN221" s="21" t="s">
        <v>18</v>
      </c>
      <c r="AO221" s="22"/>
      <c r="AP221" s="22"/>
      <c r="AQ221" s="22"/>
      <c r="AR221" s="22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</row>
    <row r="222" spans="1:65" s="124" customFormat="1" ht="42.75" x14ac:dyDescent="0.25">
      <c r="A222" s="477"/>
      <c r="B222" s="477"/>
      <c r="C222" s="477"/>
      <c r="D222" s="477"/>
      <c r="E222" s="477"/>
      <c r="F222" s="477"/>
      <c r="G222" s="477"/>
      <c r="H222" s="477"/>
      <c r="I222" s="477"/>
      <c r="J222" s="21" t="s">
        <v>46</v>
      </c>
      <c r="K222" s="22"/>
      <c r="L222" s="22" t="s">
        <v>16</v>
      </c>
      <c r="M222" s="22"/>
      <c r="N222" s="60"/>
      <c r="O222" s="59"/>
      <c r="P222" s="21" t="s">
        <v>46</v>
      </c>
      <c r="Q222" s="22"/>
      <c r="R222" s="22" t="s">
        <v>16</v>
      </c>
      <c r="S222" s="22"/>
      <c r="T222" s="60"/>
      <c r="U222" s="59"/>
      <c r="V222" s="21" t="s">
        <v>46</v>
      </c>
      <c r="W222" s="22"/>
      <c r="X222" s="22" t="s">
        <v>16</v>
      </c>
      <c r="Y222" s="22"/>
      <c r="Z222" s="60"/>
      <c r="AA222" s="59"/>
      <c r="AB222" s="21" t="s">
        <v>46</v>
      </c>
      <c r="AC222" s="22"/>
      <c r="AD222" s="22" t="s">
        <v>16</v>
      </c>
      <c r="AE222" s="22"/>
      <c r="AF222" s="60"/>
      <c r="AG222" s="59"/>
      <c r="AH222" s="21" t="s">
        <v>46</v>
      </c>
      <c r="AI222" s="22"/>
      <c r="AJ222" s="22" t="s">
        <v>16</v>
      </c>
      <c r="AK222" s="22"/>
      <c r="AL222" s="60"/>
      <c r="AM222" s="59"/>
      <c r="AN222" s="21" t="s">
        <v>46</v>
      </c>
      <c r="AO222" s="22"/>
      <c r="AP222" s="22" t="s">
        <v>16</v>
      </c>
      <c r="AQ222" s="22"/>
      <c r="AR222" s="22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</row>
    <row r="223" spans="1:65" s="124" customFormat="1" x14ac:dyDescent="0.25">
      <c r="A223" s="477"/>
      <c r="B223" s="477"/>
      <c r="C223" s="477"/>
      <c r="D223" s="477"/>
      <c r="E223" s="477"/>
      <c r="F223" s="477"/>
      <c r="G223" s="477"/>
      <c r="H223" s="477"/>
      <c r="I223" s="477"/>
      <c r="J223" s="21" t="s">
        <v>106</v>
      </c>
      <c r="K223" s="22"/>
      <c r="L223" s="22" t="s">
        <v>8</v>
      </c>
      <c r="M223" s="22"/>
      <c r="N223" s="60"/>
      <c r="O223" s="59"/>
      <c r="P223" s="21" t="s">
        <v>106</v>
      </c>
      <c r="Q223" s="22"/>
      <c r="R223" s="22" t="s">
        <v>8</v>
      </c>
      <c r="S223" s="22"/>
      <c r="T223" s="60"/>
      <c r="U223" s="59"/>
      <c r="V223" s="21" t="s">
        <v>106</v>
      </c>
      <c r="W223" s="22"/>
      <c r="X223" s="22" t="s">
        <v>8</v>
      </c>
      <c r="Y223" s="22"/>
      <c r="Z223" s="60"/>
      <c r="AA223" s="59"/>
      <c r="AB223" s="21"/>
      <c r="AC223" s="22"/>
      <c r="AD223" s="22"/>
      <c r="AE223" s="22"/>
      <c r="AF223" s="60"/>
      <c r="AG223" s="59"/>
      <c r="AH223" s="21"/>
      <c r="AI223" s="22"/>
      <c r="AJ223" s="22"/>
      <c r="AK223" s="22"/>
      <c r="AL223" s="60"/>
      <c r="AM223" s="59"/>
      <c r="AN223" s="21"/>
      <c r="AO223" s="22"/>
      <c r="AP223" s="22"/>
      <c r="AQ223" s="22"/>
      <c r="AR223" s="22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</row>
    <row r="224" spans="1:65" s="124" customFormat="1" ht="42.75" x14ac:dyDescent="0.25">
      <c r="A224" s="477"/>
      <c r="B224" s="477"/>
      <c r="C224" s="477"/>
      <c r="D224" s="477"/>
      <c r="E224" s="477"/>
      <c r="F224" s="477"/>
      <c r="G224" s="477"/>
      <c r="H224" s="477"/>
      <c r="I224" s="477"/>
      <c r="J224" s="21" t="s">
        <v>107</v>
      </c>
      <c r="K224" s="22"/>
      <c r="L224" s="22" t="s">
        <v>8</v>
      </c>
      <c r="M224" s="22"/>
      <c r="N224" s="60"/>
      <c r="O224" s="59"/>
      <c r="P224" s="21" t="s">
        <v>107</v>
      </c>
      <c r="Q224" s="22"/>
      <c r="R224" s="22" t="s">
        <v>8</v>
      </c>
      <c r="S224" s="22"/>
      <c r="T224" s="60"/>
      <c r="U224" s="59"/>
      <c r="V224" s="21" t="s">
        <v>107</v>
      </c>
      <c r="W224" s="22"/>
      <c r="X224" s="22" t="s">
        <v>8</v>
      </c>
      <c r="Y224" s="22"/>
      <c r="Z224" s="60"/>
      <c r="AA224" s="59"/>
      <c r="AB224" s="21"/>
      <c r="AC224" s="22"/>
      <c r="AD224" s="22"/>
      <c r="AE224" s="22"/>
      <c r="AF224" s="60"/>
      <c r="AG224" s="59"/>
      <c r="AH224" s="21"/>
      <c r="AI224" s="22"/>
      <c r="AJ224" s="22"/>
      <c r="AK224" s="22"/>
      <c r="AL224" s="60"/>
      <c r="AM224" s="59"/>
      <c r="AN224" s="21"/>
      <c r="AO224" s="22"/>
      <c r="AP224" s="22"/>
      <c r="AQ224" s="22"/>
      <c r="AR224" s="22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</row>
    <row r="225" spans="1:65" s="124" customFormat="1" ht="28.5" x14ac:dyDescent="0.25">
      <c r="A225" s="477"/>
      <c r="B225" s="477"/>
      <c r="C225" s="477"/>
      <c r="D225" s="477"/>
      <c r="E225" s="477"/>
      <c r="F225" s="477"/>
      <c r="G225" s="477"/>
      <c r="H225" s="477"/>
      <c r="I225" s="477"/>
      <c r="J225" s="21" t="s">
        <v>108</v>
      </c>
      <c r="K225" s="22"/>
      <c r="L225" s="22" t="s">
        <v>8</v>
      </c>
      <c r="M225" s="22"/>
      <c r="N225" s="60"/>
      <c r="O225" s="59"/>
      <c r="P225" s="21" t="s">
        <v>108</v>
      </c>
      <c r="Q225" s="22"/>
      <c r="R225" s="22" t="s">
        <v>8</v>
      </c>
      <c r="S225" s="22"/>
      <c r="T225" s="60"/>
      <c r="U225" s="59"/>
      <c r="V225" s="21" t="s">
        <v>108</v>
      </c>
      <c r="W225" s="22"/>
      <c r="X225" s="22" t="s">
        <v>8</v>
      </c>
      <c r="Y225" s="22"/>
      <c r="Z225" s="60"/>
      <c r="AA225" s="59"/>
      <c r="AB225" s="21"/>
      <c r="AC225" s="22"/>
      <c r="AD225" s="22"/>
      <c r="AE225" s="22"/>
      <c r="AF225" s="60"/>
      <c r="AG225" s="59"/>
      <c r="AH225" s="21"/>
      <c r="AI225" s="22"/>
      <c r="AJ225" s="22"/>
      <c r="AK225" s="22"/>
      <c r="AL225" s="60"/>
      <c r="AM225" s="59"/>
      <c r="AN225" s="21"/>
      <c r="AO225" s="22"/>
      <c r="AP225" s="22"/>
      <c r="AQ225" s="22"/>
      <c r="AR225" s="22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</row>
    <row r="226" spans="1:65" s="124" customFormat="1" ht="42.75" x14ac:dyDescent="0.25">
      <c r="A226" s="477"/>
      <c r="B226" s="477"/>
      <c r="C226" s="477"/>
      <c r="D226" s="477"/>
      <c r="E226" s="477"/>
      <c r="F226" s="477"/>
      <c r="G226" s="477"/>
      <c r="H226" s="477"/>
      <c r="I226" s="477"/>
      <c r="J226" s="21" t="s">
        <v>109</v>
      </c>
      <c r="K226" s="22"/>
      <c r="L226" s="22" t="s">
        <v>14</v>
      </c>
      <c r="M226" s="22"/>
      <c r="N226" s="60"/>
      <c r="O226" s="59"/>
      <c r="P226" s="21" t="s">
        <v>109</v>
      </c>
      <c r="Q226" s="22"/>
      <c r="R226" s="22" t="s">
        <v>14</v>
      </c>
      <c r="S226" s="22"/>
      <c r="T226" s="60"/>
      <c r="U226" s="59"/>
      <c r="V226" s="21" t="s">
        <v>109</v>
      </c>
      <c r="W226" s="22"/>
      <c r="X226" s="22" t="s">
        <v>14</v>
      </c>
      <c r="Y226" s="22"/>
      <c r="Z226" s="60"/>
      <c r="AA226" s="59"/>
      <c r="AB226" s="21"/>
      <c r="AC226" s="22"/>
      <c r="AD226" s="22"/>
      <c r="AE226" s="22"/>
      <c r="AF226" s="60"/>
      <c r="AG226" s="59"/>
      <c r="AH226" s="21"/>
      <c r="AI226" s="22"/>
      <c r="AJ226" s="22"/>
      <c r="AK226" s="22"/>
      <c r="AL226" s="60"/>
      <c r="AM226" s="59"/>
      <c r="AN226" s="21"/>
      <c r="AO226" s="22"/>
      <c r="AP226" s="22"/>
      <c r="AQ226" s="22"/>
      <c r="AR226" s="22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</row>
    <row r="227" spans="1:65" s="124" customFormat="1" ht="28.5" x14ac:dyDescent="0.25">
      <c r="A227" s="477"/>
      <c r="B227" s="477"/>
      <c r="C227" s="477"/>
      <c r="D227" s="477"/>
      <c r="E227" s="477"/>
      <c r="F227" s="477"/>
      <c r="G227" s="477"/>
      <c r="H227" s="477"/>
      <c r="I227" s="477"/>
      <c r="J227" s="21" t="s">
        <v>110</v>
      </c>
      <c r="K227" s="22"/>
      <c r="L227" s="22" t="s">
        <v>16</v>
      </c>
      <c r="M227" s="22"/>
      <c r="N227" s="60"/>
      <c r="O227" s="59"/>
      <c r="P227" s="21" t="s">
        <v>110</v>
      </c>
      <c r="Q227" s="22"/>
      <c r="R227" s="22" t="s">
        <v>16</v>
      </c>
      <c r="S227" s="22"/>
      <c r="T227" s="60"/>
      <c r="U227" s="59"/>
      <c r="V227" s="21" t="s">
        <v>110</v>
      </c>
      <c r="W227" s="22"/>
      <c r="X227" s="22" t="s">
        <v>16</v>
      </c>
      <c r="Y227" s="22"/>
      <c r="Z227" s="60"/>
      <c r="AA227" s="59"/>
      <c r="AB227" s="21"/>
      <c r="AC227" s="22"/>
      <c r="AD227" s="22"/>
      <c r="AE227" s="22"/>
      <c r="AF227" s="60"/>
      <c r="AG227" s="59"/>
      <c r="AH227" s="21"/>
      <c r="AI227" s="22"/>
      <c r="AJ227" s="22"/>
      <c r="AK227" s="22"/>
      <c r="AL227" s="60"/>
      <c r="AM227" s="59"/>
      <c r="AN227" s="21"/>
      <c r="AO227" s="22"/>
      <c r="AP227" s="22"/>
      <c r="AQ227" s="22"/>
      <c r="AR227" s="22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</row>
    <row r="228" spans="1:65" s="124" customFormat="1" ht="71.25" x14ac:dyDescent="0.25">
      <c r="A228" s="477"/>
      <c r="B228" s="477"/>
      <c r="C228" s="477"/>
      <c r="D228" s="477"/>
      <c r="E228" s="477"/>
      <c r="F228" s="477"/>
      <c r="G228" s="477"/>
      <c r="H228" s="477"/>
      <c r="I228" s="477"/>
      <c r="J228" s="21" t="s">
        <v>111</v>
      </c>
      <c r="K228" s="22"/>
      <c r="L228" s="22" t="s">
        <v>14</v>
      </c>
      <c r="M228" s="22"/>
      <c r="N228" s="60"/>
      <c r="O228" s="59"/>
      <c r="P228" s="21" t="s">
        <v>111</v>
      </c>
      <c r="Q228" s="22"/>
      <c r="R228" s="22" t="s">
        <v>14</v>
      </c>
      <c r="S228" s="22"/>
      <c r="T228" s="60"/>
      <c r="U228" s="59"/>
      <c r="V228" s="21" t="s">
        <v>111</v>
      </c>
      <c r="W228" s="22"/>
      <c r="X228" s="22" t="s">
        <v>14</v>
      </c>
      <c r="Y228" s="22"/>
      <c r="Z228" s="60"/>
      <c r="AA228" s="59"/>
      <c r="AB228" s="21"/>
      <c r="AC228" s="22"/>
      <c r="AD228" s="22"/>
      <c r="AE228" s="22"/>
      <c r="AF228" s="60"/>
      <c r="AG228" s="59"/>
      <c r="AH228" s="21"/>
      <c r="AI228" s="22"/>
      <c r="AJ228" s="22"/>
      <c r="AK228" s="22"/>
      <c r="AL228" s="60"/>
      <c r="AM228" s="59"/>
      <c r="AN228" s="21"/>
      <c r="AO228" s="22"/>
      <c r="AP228" s="22"/>
      <c r="AQ228" s="22"/>
      <c r="AR228" s="22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</row>
    <row r="229" spans="1:65" s="124" customFormat="1" x14ac:dyDescent="0.25">
      <c r="A229" s="477"/>
      <c r="B229" s="477"/>
      <c r="C229" s="477"/>
      <c r="D229" s="477"/>
      <c r="E229" s="477"/>
      <c r="F229" s="477"/>
      <c r="G229" s="477"/>
      <c r="H229" s="477"/>
      <c r="I229" s="477"/>
      <c r="J229" s="21" t="s">
        <v>45</v>
      </c>
      <c r="K229" s="22"/>
      <c r="L229" s="22"/>
      <c r="M229" s="22"/>
      <c r="N229" s="60"/>
      <c r="O229" s="59"/>
      <c r="P229" s="21" t="s">
        <v>45</v>
      </c>
      <c r="Q229" s="22"/>
      <c r="R229" s="22"/>
      <c r="S229" s="22"/>
      <c r="T229" s="60"/>
      <c r="U229" s="59"/>
      <c r="V229" s="21" t="s">
        <v>45</v>
      </c>
      <c r="W229" s="22"/>
      <c r="X229" s="22"/>
      <c r="Y229" s="22"/>
      <c r="Z229" s="60"/>
      <c r="AA229" s="59"/>
      <c r="AB229" s="21" t="s">
        <v>45</v>
      </c>
      <c r="AC229" s="22"/>
      <c r="AD229" s="22"/>
      <c r="AE229" s="22"/>
      <c r="AF229" s="60"/>
      <c r="AG229" s="59"/>
      <c r="AH229" s="21" t="s">
        <v>45</v>
      </c>
      <c r="AI229" s="22"/>
      <c r="AJ229" s="22"/>
      <c r="AK229" s="22"/>
      <c r="AL229" s="60"/>
      <c r="AM229" s="59"/>
      <c r="AN229" s="21" t="s">
        <v>45</v>
      </c>
      <c r="AO229" s="22"/>
      <c r="AP229" s="22"/>
      <c r="AQ229" s="22"/>
      <c r="AR229" s="22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</row>
    <row r="230" spans="1:65" ht="21.75" customHeight="1" x14ac:dyDescent="0.25">
      <c r="A230" s="67" t="s">
        <v>104</v>
      </c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288"/>
      <c r="M230" s="67"/>
      <c r="N230" s="67"/>
      <c r="O230" s="67"/>
      <c r="P230" s="67"/>
      <c r="Q230" s="67"/>
      <c r="R230" s="288"/>
      <c r="S230" s="67"/>
      <c r="T230" s="67"/>
      <c r="U230" s="67"/>
      <c r="V230" s="67"/>
      <c r="W230" s="67"/>
      <c r="X230" s="288"/>
      <c r="Y230" s="67"/>
      <c r="Z230" s="67"/>
      <c r="AA230" s="67"/>
      <c r="AB230" s="67"/>
      <c r="AC230" s="67"/>
      <c r="AD230" s="288"/>
      <c r="AE230" s="67"/>
      <c r="AF230" s="67"/>
      <c r="AG230" s="67"/>
      <c r="AH230" s="67"/>
      <c r="AI230" s="67"/>
      <c r="AJ230" s="288"/>
      <c r="AK230" s="67"/>
      <c r="AL230" s="67"/>
      <c r="AM230" s="67"/>
      <c r="AN230" s="67"/>
      <c r="AO230" s="67"/>
      <c r="AP230" s="288"/>
      <c r="AQ230" s="67"/>
      <c r="AR230" s="67"/>
    </row>
    <row r="231" spans="1:65" ht="15" customHeight="1" x14ac:dyDescent="0.25">
      <c r="A231" s="280">
        <v>1</v>
      </c>
      <c r="B231" s="55"/>
      <c r="C231" s="8"/>
      <c r="D231" s="8"/>
      <c r="E231" s="8"/>
      <c r="F231" s="8"/>
      <c r="G231" s="8"/>
      <c r="H231" s="9"/>
      <c r="I231" s="9"/>
      <c r="J231" s="10"/>
      <c r="K231" s="9"/>
      <c r="L231" s="9"/>
      <c r="M231" s="9"/>
      <c r="N231" s="9"/>
      <c r="O231" s="9"/>
      <c r="P231" s="9"/>
      <c r="Q231" s="9"/>
      <c r="R231" s="9"/>
      <c r="S231" s="280"/>
      <c r="T231" s="280"/>
      <c r="U231" s="280"/>
      <c r="V231" s="280"/>
      <c r="W231" s="280"/>
      <c r="X231" s="280"/>
      <c r="Y231" s="280"/>
      <c r="Z231" s="280"/>
      <c r="AA231" s="280"/>
      <c r="AB231" s="280"/>
      <c r="AC231" s="280"/>
      <c r="AD231" s="280"/>
      <c r="AE231" s="280"/>
      <c r="AF231" s="280"/>
      <c r="AG231" s="280"/>
      <c r="AH231" s="280"/>
      <c r="AI231" s="280"/>
      <c r="AJ231" s="280"/>
      <c r="AK231" s="280"/>
      <c r="AL231" s="280"/>
      <c r="AM231" s="280"/>
      <c r="AN231" s="280"/>
      <c r="AO231" s="280"/>
      <c r="AP231" s="280"/>
      <c r="AQ231" s="280"/>
      <c r="AR231" s="280"/>
    </row>
    <row r="232" spans="1:65" ht="15" customHeight="1" x14ac:dyDescent="0.25">
      <c r="A232" s="280">
        <v>2</v>
      </c>
      <c r="B232" s="6"/>
      <c r="C232" s="7"/>
      <c r="D232" s="8"/>
      <c r="E232" s="8"/>
      <c r="F232" s="8"/>
      <c r="G232" s="8"/>
      <c r="H232" s="9"/>
      <c r="I232" s="9"/>
      <c r="J232" s="10"/>
      <c r="K232" s="9"/>
      <c r="L232" s="9"/>
      <c r="M232" s="9"/>
      <c r="N232" s="9"/>
      <c r="O232" s="9"/>
      <c r="P232" s="9"/>
      <c r="Q232" s="9"/>
      <c r="R232" s="9"/>
      <c r="S232" s="280"/>
      <c r="T232" s="280"/>
      <c r="U232" s="280"/>
      <c r="V232" s="280"/>
      <c r="W232" s="280"/>
      <c r="X232" s="280"/>
      <c r="Y232" s="280"/>
      <c r="Z232" s="280"/>
      <c r="AA232" s="280"/>
      <c r="AB232" s="280"/>
      <c r="AC232" s="280"/>
      <c r="AD232" s="280"/>
      <c r="AE232" s="280"/>
      <c r="AF232" s="280"/>
      <c r="AG232" s="280"/>
      <c r="AH232" s="280"/>
      <c r="AI232" s="280"/>
      <c r="AJ232" s="280"/>
      <c r="AK232" s="280"/>
      <c r="AL232" s="280"/>
      <c r="AM232" s="280"/>
      <c r="AN232" s="280"/>
      <c r="AO232" s="280"/>
      <c r="AP232" s="280"/>
      <c r="AQ232" s="280"/>
      <c r="AR232" s="280"/>
    </row>
    <row r="233" spans="1:65" ht="15" customHeight="1" x14ac:dyDescent="0.25">
      <c r="A233" s="280">
        <v>3</v>
      </c>
      <c r="B233" s="6"/>
      <c r="C233" s="7"/>
      <c r="D233" s="8"/>
      <c r="E233" s="8"/>
      <c r="F233" s="8"/>
      <c r="G233" s="8"/>
      <c r="H233" s="9"/>
      <c r="I233" s="9"/>
      <c r="J233" s="10"/>
      <c r="K233" s="9"/>
      <c r="L233" s="9"/>
      <c r="M233" s="9"/>
      <c r="N233" s="9"/>
      <c r="O233" s="9"/>
      <c r="P233" s="9"/>
      <c r="Q233" s="9"/>
      <c r="R233" s="9"/>
      <c r="S233" s="280"/>
      <c r="T233" s="280"/>
      <c r="U233" s="280"/>
      <c r="V233" s="280"/>
      <c r="W233" s="280"/>
      <c r="X233" s="280"/>
      <c r="Y233" s="280"/>
      <c r="Z233" s="280"/>
      <c r="AA233" s="280"/>
      <c r="AB233" s="280"/>
      <c r="AC233" s="280"/>
      <c r="AD233" s="280"/>
      <c r="AE233" s="280"/>
      <c r="AF233" s="280"/>
      <c r="AG233" s="280"/>
      <c r="AH233" s="280"/>
      <c r="AI233" s="280"/>
      <c r="AJ233" s="280"/>
      <c r="AK233" s="280"/>
      <c r="AL233" s="280"/>
      <c r="AM233" s="280"/>
      <c r="AN233" s="280"/>
      <c r="AO233" s="280"/>
      <c r="AP233" s="280"/>
      <c r="AQ233" s="280"/>
      <c r="AR233" s="280"/>
    </row>
    <row r="234" spans="1:65" s="109" customFormat="1" ht="40.5" customHeight="1" x14ac:dyDescent="0.25">
      <c r="A234" s="618" t="s">
        <v>24</v>
      </c>
      <c r="B234" s="619"/>
      <c r="C234" s="620"/>
      <c r="D234" s="99"/>
      <c r="E234" s="99"/>
      <c r="F234" s="99"/>
      <c r="G234" s="99"/>
      <c r="H234" s="99"/>
      <c r="I234" s="99"/>
      <c r="J234" s="99"/>
      <c r="K234" s="99"/>
      <c r="L234" s="103"/>
      <c r="M234" s="99"/>
      <c r="N234" s="99"/>
      <c r="O234" s="99"/>
      <c r="P234" s="99"/>
      <c r="Q234" s="99"/>
      <c r="R234" s="103"/>
      <c r="S234" s="99"/>
      <c r="T234" s="99"/>
      <c r="U234" s="99"/>
      <c r="V234" s="99"/>
      <c r="W234" s="99"/>
      <c r="X234" s="103"/>
      <c r="Y234" s="99"/>
      <c r="Z234" s="99"/>
      <c r="AA234" s="99"/>
      <c r="AB234" s="99"/>
      <c r="AC234" s="99"/>
      <c r="AD234" s="103"/>
      <c r="AE234" s="99"/>
      <c r="AF234" s="99"/>
      <c r="AG234" s="99"/>
      <c r="AH234" s="99"/>
      <c r="AI234" s="99"/>
      <c r="AJ234" s="103"/>
      <c r="AK234" s="99"/>
      <c r="AL234" s="99"/>
      <c r="AM234" s="99"/>
      <c r="AN234" s="99"/>
      <c r="AO234" s="99"/>
      <c r="AP234" s="103"/>
      <c r="AQ234" s="99"/>
      <c r="AR234" s="99"/>
      <c r="AS234" s="108"/>
      <c r="AT234" s="108"/>
      <c r="AU234" s="108"/>
      <c r="AV234" s="108"/>
      <c r="AW234" s="108"/>
      <c r="AX234" s="108"/>
      <c r="AY234" s="108"/>
      <c r="AZ234" s="108"/>
      <c r="BA234" s="108"/>
      <c r="BB234" s="108"/>
      <c r="BC234" s="108"/>
      <c r="BD234" s="108"/>
      <c r="BE234" s="108"/>
      <c r="BF234" s="108"/>
      <c r="BG234" s="108"/>
      <c r="BH234" s="108"/>
      <c r="BI234" s="108"/>
      <c r="BJ234" s="108"/>
      <c r="BK234" s="108"/>
      <c r="BL234" s="108"/>
      <c r="BM234" s="108"/>
    </row>
    <row r="235" spans="1:65" ht="27" customHeight="1" x14ac:dyDescent="0.25">
      <c r="A235" s="477" t="s">
        <v>105</v>
      </c>
      <c r="B235" s="477"/>
      <c r="C235" s="477"/>
      <c r="D235" s="477"/>
      <c r="E235" s="477"/>
      <c r="F235" s="477"/>
      <c r="G235" s="477"/>
      <c r="H235" s="477"/>
      <c r="I235" s="477"/>
      <c r="J235" s="467" t="s">
        <v>11</v>
      </c>
      <c r="K235" s="22"/>
      <c r="L235" s="22" t="s">
        <v>5</v>
      </c>
      <c r="M235" s="22"/>
      <c r="N235" s="66"/>
      <c r="O235" s="25"/>
      <c r="P235" s="467" t="s">
        <v>11</v>
      </c>
      <c r="Q235" s="22"/>
      <c r="R235" s="22" t="s">
        <v>5</v>
      </c>
      <c r="S235" s="22"/>
      <c r="T235" s="66"/>
      <c r="U235" s="25"/>
      <c r="V235" s="467" t="s">
        <v>11</v>
      </c>
      <c r="W235" s="22"/>
      <c r="X235" s="22" t="s">
        <v>5</v>
      </c>
      <c r="Y235" s="22"/>
      <c r="Z235" s="66"/>
      <c r="AA235" s="25"/>
      <c r="AB235" s="467" t="s">
        <v>11</v>
      </c>
      <c r="AC235" s="22"/>
      <c r="AD235" s="22" t="s">
        <v>5</v>
      </c>
      <c r="AE235" s="22"/>
      <c r="AF235" s="66"/>
      <c r="AG235" s="25"/>
      <c r="AH235" s="467" t="s">
        <v>11</v>
      </c>
      <c r="AI235" s="22"/>
      <c r="AJ235" s="22" t="s">
        <v>5</v>
      </c>
      <c r="AK235" s="22"/>
      <c r="AL235" s="66"/>
      <c r="AM235" s="25"/>
      <c r="AN235" s="467" t="s">
        <v>11</v>
      </c>
      <c r="AO235" s="22"/>
      <c r="AP235" s="22" t="s">
        <v>5</v>
      </c>
      <c r="AQ235" s="22"/>
      <c r="AR235" s="22"/>
    </row>
    <row r="236" spans="1:65" ht="27" customHeight="1" x14ac:dyDescent="0.25">
      <c r="A236" s="477"/>
      <c r="B236" s="477"/>
      <c r="C236" s="477"/>
      <c r="D236" s="477"/>
      <c r="E236" s="477"/>
      <c r="F236" s="477"/>
      <c r="G236" s="477"/>
      <c r="H236" s="477"/>
      <c r="I236" s="477"/>
      <c r="J236" s="468"/>
      <c r="K236" s="22"/>
      <c r="L236" s="22" t="s">
        <v>8</v>
      </c>
      <c r="M236" s="22"/>
      <c r="N236" s="60"/>
      <c r="O236" s="27"/>
      <c r="P236" s="468"/>
      <c r="Q236" s="22"/>
      <c r="R236" s="22" t="s">
        <v>8</v>
      </c>
      <c r="S236" s="22"/>
      <c r="T236" s="60"/>
      <c r="U236" s="27"/>
      <c r="V236" s="468"/>
      <c r="W236" s="22"/>
      <c r="X236" s="22" t="s">
        <v>8</v>
      </c>
      <c r="Y236" s="22"/>
      <c r="Z236" s="60"/>
      <c r="AA236" s="27"/>
      <c r="AB236" s="468"/>
      <c r="AC236" s="22"/>
      <c r="AD236" s="22" t="s">
        <v>8</v>
      </c>
      <c r="AE236" s="22"/>
      <c r="AF236" s="60"/>
      <c r="AG236" s="27"/>
      <c r="AH236" s="468"/>
      <c r="AI236" s="22"/>
      <c r="AJ236" s="22" t="s">
        <v>8</v>
      </c>
      <c r="AK236" s="22"/>
      <c r="AL236" s="60"/>
      <c r="AM236" s="27"/>
      <c r="AN236" s="468"/>
      <c r="AO236" s="22"/>
      <c r="AP236" s="22" t="s">
        <v>8</v>
      </c>
      <c r="AQ236" s="22"/>
      <c r="AR236" s="22"/>
    </row>
    <row r="237" spans="1:65" ht="21.75" customHeight="1" x14ac:dyDescent="0.25">
      <c r="A237" s="477"/>
      <c r="B237" s="477"/>
      <c r="C237" s="477"/>
      <c r="D237" s="477"/>
      <c r="E237" s="477"/>
      <c r="F237" s="477"/>
      <c r="G237" s="477"/>
      <c r="H237" s="477"/>
      <c r="I237" s="477"/>
      <c r="J237" s="467" t="s">
        <v>41</v>
      </c>
      <c r="K237" s="22"/>
      <c r="L237" s="22" t="s">
        <v>5</v>
      </c>
      <c r="M237" s="22"/>
      <c r="N237" s="60"/>
      <c r="O237" s="27"/>
      <c r="P237" s="467" t="s">
        <v>41</v>
      </c>
      <c r="Q237" s="22"/>
      <c r="R237" s="22" t="s">
        <v>5</v>
      </c>
      <c r="S237" s="22"/>
      <c r="T237" s="60"/>
      <c r="U237" s="27"/>
      <c r="V237" s="467" t="s">
        <v>41</v>
      </c>
      <c r="W237" s="22"/>
      <c r="X237" s="22" t="s">
        <v>5</v>
      </c>
      <c r="Y237" s="22"/>
      <c r="Z237" s="60"/>
      <c r="AA237" s="27"/>
      <c r="AB237" s="467" t="s">
        <v>41</v>
      </c>
      <c r="AC237" s="22"/>
      <c r="AD237" s="22" t="s">
        <v>5</v>
      </c>
      <c r="AE237" s="22"/>
      <c r="AF237" s="60"/>
      <c r="AG237" s="27"/>
      <c r="AH237" s="467" t="s">
        <v>41</v>
      </c>
      <c r="AI237" s="22"/>
      <c r="AJ237" s="22" t="s">
        <v>5</v>
      </c>
      <c r="AK237" s="22"/>
      <c r="AL237" s="60"/>
      <c r="AM237" s="27"/>
      <c r="AN237" s="467" t="s">
        <v>41</v>
      </c>
      <c r="AO237" s="22"/>
      <c r="AP237" s="22" t="s">
        <v>5</v>
      </c>
      <c r="AQ237" s="22"/>
      <c r="AR237" s="22"/>
    </row>
    <row r="238" spans="1:65" ht="21.75" customHeight="1" x14ac:dyDescent="0.25">
      <c r="A238" s="477"/>
      <c r="B238" s="477"/>
      <c r="C238" s="477"/>
      <c r="D238" s="477"/>
      <c r="E238" s="477"/>
      <c r="F238" s="477"/>
      <c r="G238" s="477"/>
      <c r="H238" s="477"/>
      <c r="I238" s="477"/>
      <c r="J238" s="468"/>
      <c r="K238" s="22"/>
      <c r="L238" s="22" t="s">
        <v>8</v>
      </c>
      <c r="M238" s="22"/>
      <c r="N238" s="60"/>
      <c r="O238" s="27"/>
      <c r="P238" s="468"/>
      <c r="Q238" s="22"/>
      <c r="R238" s="22" t="s">
        <v>8</v>
      </c>
      <c r="S238" s="22"/>
      <c r="T238" s="60"/>
      <c r="U238" s="27"/>
      <c r="V238" s="468"/>
      <c r="W238" s="22"/>
      <c r="X238" s="22" t="s">
        <v>8</v>
      </c>
      <c r="Y238" s="22"/>
      <c r="Z238" s="60"/>
      <c r="AA238" s="27"/>
      <c r="AB238" s="468"/>
      <c r="AC238" s="22"/>
      <c r="AD238" s="22" t="s">
        <v>8</v>
      </c>
      <c r="AE238" s="22"/>
      <c r="AF238" s="60"/>
      <c r="AG238" s="27"/>
      <c r="AH238" s="468"/>
      <c r="AI238" s="22"/>
      <c r="AJ238" s="22" t="s">
        <v>8</v>
      </c>
      <c r="AK238" s="22"/>
      <c r="AL238" s="60"/>
      <c r="AM238" s="27"/>
      <c r="AN238" s="468"/>
      <c r="AO238" s="22"/>
      <c r="AP238" s="22" t="s">
        <v>8</v>
      </c>
      <c r="AQ238" s="22"/>
      <c r="AR238" s="22"/>
    </row>
    <row r="239" spans="1:65" ht="21.75" customHeight="1" x14ac:dyDescent="0.25">
      <c r="A239" s="477"/>
      <c r="B239" s="477"/>
      <c r="C239" s="477"/>
      <c r="D239" s="477"/>
      <c r="E239" s="477"/>
      <c r="F239" s="477"/>
      <c r="G239" s="477"/>
      <c r="H239" s="477"/>
      <c r="I239" s="477"/>
      <c r="J239" s="467" t="s">
        <v>42</v>
      </c>
      <c r="K239" s="22"/>
      <c r="L239" s="22" t="s">
        <v>5</v>
      </c>
      <c r="M239" s="22"/>
      <c r="N239" s="60"/>
      <c r="O239" s="27"/>
      <c r="P239" s="467" t="s">
        <v>42</v>
      </c>
      <c r="Q239" s="22"/>
      <c r="R239" s="22" t="s">
        <v>5</v>
      </c>
      <c r="S239" s="22"/>
      <c r="T239" s="60"/>
      <c r="U239" s="27"/>
      <c r="V239" s="467" t="s">
        <v>42</v>
      </c>
      <c r="W239" s="22"/>
      <c r="X239" s="22" t="s">
        <v>5</v>
      </c>
      <c r="Y239" s="22"/>
      <c r="Z239" s="60"/>
      <c r="AA239" s="27"/>
      <c r="AB239" s="467" t="s">
        <v>42</v>
      </c>
      <c r="AC239" s="22"/>
      <c r="AD239" s="22" t="s">
        <v>5</v>
      </c>
      <c r="AE239" s="22"/>
      <c r="AF239" s="60"/>
      <c r="AG239" s="27"/>
      <c r="AH239" s="467" t="s">
        <v>42</v>
      </c>
      <c r="AI239" s="22"/>
      <c r="AJ239" s="22" t="s">
        <v>5</v>
      </c>
      <c r="AK239" s="22"/>
      <c r="AL239" s="60"/>
      <c r="AM239" s="27"/>
      <c r="AN239" s="467" t="s">
        <v>42</v>
      </c>
      <c r="AO239" s="22"/>
      <c r="AP239" s="22" t="s">
        <v>5</v>
      </c>
      <c r="AQ239" s="22"/>
      <c r="AR239" s="22"/>
    </row>
    <row r="240" spans="1:65" ht="21.75" customHeight="1" x14ac:dyDescent="0.25">
      <c r="A240" s="477"/>
      <c r="B240" s="477"/>
      <c r="C240" s="477"/>
      <c r="D240" s="477"/>
      <c r="E240" s="477"/>
      <c r="F240" s="477"/>
      <c r="G240" s="477"/>
      <c r="H240" s="477"/>
      <c r="I240" s="477"/>
      <c r="J240" s="468"/>
      <c r="K240" s="22"/>
      <c r="L240" s="22" t="s">
        <v>8</v>
      </c>
      <c r="M240" s="22"/>
      <c r="N240" s="60"/>
      <c r="O240" s="27"/>
      <c r="P240" s="468"/>
      <c r="Q240" s="22"/>
      <c r="R240" s="22" t="s">
        <v>8</v>
      </c>
      <c r="S240" s="22"/>
      <c r="T240" s="60"/>
      <c r="U240" s="27"/>
      <c r="V240" s="468"/>
      <c r="W240" s="22"/>
      <c r="X240" s="22" t="s">
        <v>8</v>
      </c>
      <c r="Y240" s="22"/>
      <c r="Z240" s="60"/>
      <c r="AA240" s="27"/>
      <c r="AB240" s="468"/>
      <c r="AC240" s="22"/>
      <c r="AD240" s="22" t="s">
        <v>8</v>
      </c>
      <c r="AE240" s="22"/>
      <c r="AF240" s="60"/>
      <c r="AG240" s="27"/>
      <c r="AH240" s="468"/>
      <c r="AI240" s="22"/>
      <c r="AJ240" s="22" t="s">
        <v>8</v>
      </c>
      <c r="AK240" s="22"/>
      <c r="AL240" s="60"/>
      <c r="AM240" s="27"/>
      <c r="AN240" s="468"/>
      <c r="AO240" s="22"/>
      <c r="AP240" s="22" t="s">
        <v>8</v>
      </c>
      <c r="AQ240" s="22"/>
      <c r="AR240" s="22"/>
    </row>
    <row r="241" spans="1:44" ht="21.75" customHeight="1" x14ac:dyDescent="0.25">
      <c r="A241" s="477"/>
      <c r="B241" s="477"/>
      <c r="C241" s="477"/>
      <c r="D241" s="477"/>
      <c r="E241" s="477"/>
      <c r="F241" s="477"/>
      <c r="G241" s="477"/>
      <c r="H241" s="477"/>
      <c r="I241" s="477"/>
      <c r="J241" s="467" t="s">
        <v>43</v>
      </c>
      <c r="K241" s="22"/>
      <c r="L241" s="22" t="s">
        <v>5</v>
      </c>
      <c r="M241" s="22"/>
      <c r="N241" s="60"/>
      <c r="O241" s="27"/>
      <c r="P241" s="467" t="s">
        <v>43</v>
      </c>
      <c r="Q241" s="22"/>
      <c r="R241" s="22" t="s">
        <v>5</v>
      </c>
      <c r="S241" s="22"/>
      <c r="T241" s="60"/>
      <c r="U241" s="27"/>
      <c r="V241" s="467" t="s">
        <v>43</v>
      </c>
      <c r="W241" s="22"/>
      <c r="X241" s="22" t="s">
        <v>5</v>
      </c>
      <c r="Y241" s="22"/>
      <c r="Z241" s="60"/>
      <c r="AA241" s="27"/>
      <c r="AB241" s="467" t="s">
        <v>43</v>
      </c>
      <c r="AC241" s="22"/>
      <c r="AD241" s="22" t="s">
        <v>5</v>
      </c>
      <c r="AE241" s="22"/>
      <c r="AF241" s="60"/>
      <c r="AG241" s="27"/>
      <c r="AH241" s="467" t="s">
        <v>43</v>
      </c>
      <c r="AI241" s="22"/>
      <c r="AJ241" s="22" t="s">
        <v>5</v>
      </c>
      <c r="AK241" s="22"/>
      <c r="AL241" s="60"/>
      <c r="AM241" s="27"/>
      <c r="AN241" s="467" t="s">
        <v>43</v>
      </c>
      <c r="AO241" s="22"/>
      <c r="AP241" s="22" t="s">
        <v>5</v>
      </c>
      <c r="AQ241" s="22"/>
      <c r="AR241" s="22"/>
    </row>
    <row r="242" spans="1:44" ht="21.75" customHeight="1" x14ac:dyDescent="0.25">
      <c r="A242" s="477"/>
      <c r="B242" s="477"/>
      <c r="C242" s="477"/>
      <c r="D242" s="477"/>
      <c r="E242" s="477"/>
      <c r="F242" s="477"/>
      <c r="G242" s="477"/>
      <c r="H242" s="477"/>
      <c r="I242" s="477"/>
      <c r="J242" s="468"/>
      <c r="K242" s="22"/>
      <c r="L242" s="22" t="s">
        <v>8</v>
      </c>
      <c r="M242" s="22"/>
      <c r="N242" s="60"/>
      <c r="O242" s="27"/>
      <c r="P242" s="468"/>
      <c r="Q242" s="22"/>
      <c r="R242" s="22" t="s">
        <v>8</v>
      </c>
      <c r="S242" s="22"/>
      <c r="T242" s="60"/>
      <c r="U242" s="27"/>
      <c r="V242" s="468"/>
      <c r="W242" s="22"/>
      <c r="X242" s="22" t="s">
        <v>8</v>
      </c>
      <c r="Y242" s="22"/>
      <c r="Z242" s="60"/>
      <c r="AA242" s="27"/>
      <c r="AB242" s="468"/>
      <c r="AC242" s="22"/>
      <c r="AD242" s="22" t="s">
        <v>8</v>
      </c>
      <c r="AE242" s="22"/>
      <c r="AF242" s="60"/>
      <c r="AG242" s="27"/>
      <c r="AH242" s="468"/>
      <c r="AI242" s="22"/>
      <c r="AJ242" s="22" t="s">
        <v>8</v>
      </c>
      <c r="AK242" s="22"/>
      <c r="AL242" s="60"/>
      <c r="AM242" s="27"/>
      <c r="AN242" s="468"/>
      <c r="AO242" s="22"/>
      <c r="AP242" s="22" t="s">
        <v>8</v>
      </c>
      <c r="AQ242" s="22"/>
      <c r="AR242" s="22"/>
    </row>
    <row r="243" spans="1:44" ht="21.75" customHeight="1" x14ac:dyDescent="0.25">
      <c r="A243" s="477"/>
      <c r="B243" s="477"/>
      <c r="C243" s="477"/>
      <c r="D243" s="477"/>
      <c r="E243" s="477"/>
      <c r="F243" s="477"/>
      <c r="G243" s="477"/>
      <c r="H243" s="477"/>
      <c r="I243" s="477"/>
      <c r="J243" s="467" t="s">
        <v>12</v>
      </c>
      <c r="K243" s="22"/>
      <c r="L243" s="22" t="s">
        <v>8</v>
      </c>
      <c r="M243" s="472"/>
      <c r="N243" s="60"/>
      <c r="O243" s="27"/>
      <c r="P243" s="467" t="s">
        <v>12</v>
      </c>
      <c r="Q243" s="22"/>
      <c r="R243" s="22" t="s">
        <v>8</v>
      </c>
      <c r="S243" s="472"/>
      <c r="T243" s="60"/>
      <c r="U243" s="27"/>
      <c r="V243" s="467" t="s">
        <v>12</v>
      </c>
      <c r="W243" s="22"/>
      <c r="X243" s="22" t="s">
        <v>8</v>
      </c>
      <c r="Y243" s="472"/>
      <c r="Z243" s="60"/>
      <c r="AA243" s="27"/>
      <c r="AB243" s="467" t="s">
        <v>12</v>
      </c>
      <c r="AC243" s="22"/>
      <c r="AD243" s="22" t="s">
        <v>8</v>
      </c>
      <c r="AE243" s="472"/>
      <c r="AF243" s="60"/>
      <c r="AG243" s="27"/>
      <c r="AH243" s="467" t="s">
        <v>12</v>
      </c>
      <c r="AI243" s="22"/>
      <c r="AJ243" s="22" t="s">
        <v>8</v>
      </c>
      <c r="AK243" s="472"/>
      <c r="AL243" s="60"/>
      <c r="AM243" s="27"/>
      <c r="AN243" s="467" t="s">
        <v>12</v>
      </c>
      <c r="AO243" s="22"/>
      <c r="AP243" s="22" t="s">
        <v>8</v>
      </c>
      <c r="AQ243" s="472"/>
      <c r="AR243" s="472"/>
    </row>
    <row r="244" spans="1:44" x14ac:dyDescent="0.25">
      <c r="A244" s="477"/>
      <c r="B244" s="477"/>
      <c r="C244" s="477"/>
      <c r="D244" s="477"/>
      <c r="E244" s="477"/>
      <c r="F244" s="477"/>
      <c r="G244" s="477"/>
      <c r="H244" s="477"/>
      <c r="I244" s="477"/>
      <c r="J244" s="468"/>
      <c r="K244" s="22"/>
      <c r="L244" s="22" t="s">
        <v>5</v>
      </c>
      <c r="M244" s="473"/>
      <c r="N244" s="60"/>
      <c r="O244" s="27"/>
      <c r="P244" s="468"/>
      <c r="Q244" s="22"/>
      <c r="R244" s="22" t="s">
        <v>5</v>
      </c>
      <c r="S244" s="473"/>
      <c r="T244" s="60"/>
      <c r="U244" s="27"/>
      <c r="V244" s="468"/>
      <c r="W244" s="22"/>
      <c r="X244" s="22" t="s">
        <v>5</v>
      </c>
      <c r="Y244" s="473"/>
      <c r="Z244" s="60"/>
      <c r="AA244" s="27"/>
      <c r="AB244" s="468"/>
      <c r="AC244" s="22"/>
      <c r="AD244" s="22" t="s">
        <v>5</v>
      </c>
      <c r="AE244" s="473"/>
      <c r="AF244" s="60"/>
      <c r="AG244" s="27"/>
      <c r="AH244" s="468"/>
      <c r="AI244" s="22"/>
      <c r="AJ244" s="22" t="s">
        <v>5</v>
      </c>
      <c r="AK244" s="473"/>
      <c r="AL244" s="60"/>
      <c r="AM244" s="27"/>
      <c r="AN244" s="468"/>
      <c r="AO244" s="22"/>
      <c r="AP244" s="22" t="s">
        <v>5</v>
      </c>
      <c r="AQ244" s="473"/>
      <c r="AR244" s="473"/>
    </row>
    <row r="245" spans="1:44" ht="42.75" x14ac:dyDescent="0.25">
      <c r="A245" s="477"/>
      <c r="B245" s="477"/>
      <c r="C245" s="477"/>
      <c r="D245" s="477"/>
      <c r="E245" s="477"/>
      <c r="F245" s="477"/>
      <c r="G245" s="477"/>
      <c r="H245" s="477"/>
      <c r="I245" s="477"/>
      <c r="J245" s="21" t="s">
        <v>13</v>
      </c>
      <c r="K245" s="22"/>
      <c r="L245" s="22" t="s">
        <v>14</v>
      </c>
      <c r="M245" s="22"/>
      <c r="N245" s="60"/>
      <c r="O245" s="27"/>
      <c r="P245" s="21" t="s">
        <v>13</v>
      </c>
      <c r="Q245" s="22"/>
      <c r="R245" s="22" t="s">
        <v>14</v>
      </c>
      <c r="S245" s="22"/>
      <c r="T245" s="60"/>
      <c r="U245" s="27"/>
      <c r="V245" s="21" t="s">
        <v>13</v>
      </c>
      <c r="W245" s="22"/>
      <c r="X245" s="22" t="s">
        <v>14</v>
      </c>
      <c r="Y245" s="22"/>
      <c r="Z245" s="60"/>
      <c r="AA245" s="27"/>
      <c r="AB245" s="21" t="s">
        <v>13</v>
      </c>
      <c r="AC245" s="22"/>
      <c r="AD245" s="22" t="s">
        <v>14</v>
      </c>
      <c r="AE245" s="22"/>
      <c r="AF245" s="60"/>
      <c r="AG245" s="27"/>
      <c r="AH245" s="21" t="s">
        <v>13</v>
      </c>
      <c r="AI245" s="22"/>
      <c r="AJ245" s="22" t="s">
        <v>14</v>
      </c>
      <c r="AK245" s="22"/>
      <c r="AL245" s="60"/>
      <c r="AM245" s="27"/>
      <c r="AN245" s="21" t="s">
        <v>13</v>
      </c>
      <c r="AO245" s="22"/>
      <c r="AP245" s="22" t="s">
        <v>14</v>
      </c>
      <c r="AQ245" s="22"/>
      <c r="AR245" s="22"/>
    </row>
    <row r="246" spans="1:44" ht="28.5" x14ac:dyDescent="0.25">
      <c r="A246" s="477"/>
      <c r="B246" s="477"/>
      <c r="C246" s="477"/>
      <c r="D246" s="477"/>
      <c r="E246" s="477"/>
      <c r="F246" s="477"/>
      <c r="G246" s="477"/>
      <c r="H246" s="477"/>
      <c r="I246" s="477"/>
      <c r="J246" s="21" t="s">
        <v>44</v>
      </c>
      <c r="K246" s="22"/>
      <c r="L246" s="22" t="s">
        <v>14</v>
      </c>
      <c r="M246" s="22"/>
      <c r="N246" s="60"/>
      <c r="O246" s="27"/>
      <c r="P246" s="21" t="s">
        <v>44</v>
      </c>
      <c r="Q246" s="22"/>
      <c r="R246" s="22" t="s">
        <v>14</v>
      </c>
      <c r="S246" s="22"/>
      <c r="T246" s="60"/>
      <c r="U246" s="27"/>
      <c r="V246" s="21" t="s">
        <v>44</v>
      </c>
      <c r="W246" s="22"/>
      <c r="X246" s="22" t="s">
        <v>14</v>
      </c>
      <c r="Y246" s="22"/>
      <c r="Z246" s="60"/>
      <c r="AA246" s="27"/>
      <c r="AB246" s="21" t="s">
        <v>44</v>
      </c>
      <c r="AC246" s="22"/>
      <c r="AD246" s="22" t="s">
        <v>14</v>
      </c>
      <c r="AE246" s="22"/>
      <c r="AF246" s="60"/>
      <c r="AG246" s="27"/>
      <c r="AH246" s="21" t="s">
        <v>44</v>
      </c>
      <c r="AI246" s="22"/>
      <c r="AJ246" s="22" t="s">
        <v>14</v>
      </c>
      <c r="AK246" s="22"/>
      <c r="AL246" s="60"/>
      <c r="AM246" s="27"/>
      <c r="AN246" s="21" t="s">
        <v>44</v>
      </c>
      <c r="AO246" s="22"/>
      <c r="AP246" s="22" t="s">
        <v>14</v>
      </c>
      <c r="AQ246" s="22"/>
      <c r="AR246" s="22"/>
    </row>
    <row r="247" spans="1:44" ht="42.75" x14ac:dyDescent="0.25">
      <c r="A247" s="477"/>
      <c r="B247" s="477"/>
      <c r="C247" s="477"/>
      <c r="D247" s="477"/>
      <c r="E247" s="477"/>
      <c r="F247" s="477"/>
      <c r="G247" s="477"/>
      <c r="H247" s="477"/>
      <c r="I247" s="477"/>
      <c r="J247" s="21" t="s">
        <v>15</v>
      </c>
      <c r="K247" s="22"/>
      <c r="L247" s="22" t="s">
        <v>16</v>
      </c>
      <c r="M247" s="22"/>
      <c r="N247" s="60"/>
      <c r="O247" s="27"/>
      <c r="P247" s="21" t="s">
        <v>15</v>
      </c>
      <c r="Q247" s="22"/>
      <c r="R247" s="22" t="s">
        <v>16</v>
      </c>
      <c r="S247" s="22"/>
      <c r="T247" s="60"/>
      <c r="U247" s="27"/>
      <c r="V247" s="21" t="s">
        <v>15</v>
      </c>
      <c r="W247" s="22"/>
      <c r="X247" s="22" t="s">
        <v>16</v>
      </c>
      <c r="Y247" s="22"/>
      <c r="Z247" s="60"/>
      <c r="AA247" s="27"/>
      <c r="AB247" s="21" t="s">
        <v>15</v>
      </c>
      <c r="AC247" s="22"/>
      <c r="AD247" s="22" t="s">
        <v>16</v>
      </c>
      <c r="AE247" s="22"/>
      <c r="AF247" s="60"/>
      <c r="AG247" s="27"/>
      <c r="AH247" s="21" t="s">
        <v>15</v>
      </c>
      <c r="AI247" s="22"/>
      <c r="AJ247" s="22" t="s">
        <v>16</v>
      </c>
      <c r="AK247" s="22"/>
      <c r="AL247" s="60"/>
      <c r="AM247" s="27"/>
      <c r="AN247" s="21" t="s">
        <v>15</v>
      </c>
      <c r="AO247" s="22"/>
      <c r="AP247" s="22" t="s">
        <v>16</v>
      </c>
      <c r="AQ247" s="22"/>
      <c r="AR247" s="22"/>
    </row>
    <row r="248" spans="1:44" ht="19.5" customHeight="1" x14ac:dyDescent="0.25">
      <c r="A248" s="477"/>
      <c r="B248" s="477"/>
      <c r="C248" s="477"/>
      <c r="D248" s="477"/>
      <c r="E248" s="477"/>
      <c r="F248" s="477"/>
      <c r="G248" s="477"/>
      <c r="H248" s="477"/>
      <c r="I248" s="477"/>
      <c r="J248" s="21" t="s">
        <v>17</v>
      </c>
      <c r="K248" s="22"/>
      <c r="L248" s="22" t="s">
        <v>8</v>
      </c>
      <c r="M248" s="22"/>
      <c r="N248" s="60"/>
      <c r="O248" s="27"/>
      <c r="P248" s="21" t="s">
        <v>17</v>
      </c>
      <c r="Q248" s="22"/>
      <c r="R248" s="22" t="s">
        <v>8</v>
      </c>
      <c r="S248" s="22"/>
      <c r="T248" s="60"/>
      <c r="U248" s="27"/>
      <c r="V248" s="21" t="s">
        <v>17</v>
      </c>
      <c r="W248" s="22"/>
      <c r="X248" s="22" t="s">
        <v>8</v>
      </c>
      <c r="Y248" s="22"/>
      <c r="Z248" s="60"/>
      <c r="AA248" s="27"/>
      <c r="AB248" s="21" t="s">
        <v>17</v>
      </c>
      <c r="AC248" s="22"/>
      <c r="AD248" s="22" t="s">
        <v>8</v>
      </c>
      <c r="AE248" s="22"/>
      <c r="AF248" s="60"/>
      <c r="AG248" s="27"/>
      <c r="AH248" s="21" t="s">
        <v>17</v>
      </c>
      <c r="AI248" s="22"/>
      <c r="AJ248" s="22" t="s">
        <v>8</v>
      </c>
      <c r="AK248" s="22"/>
      <c r="AL248" s="60"/>
      <c r="AM248" s="27"/>
      <c r="AN248" s="21" t="s">
        <v>17</v>
      </c>
      <c r="AO248" s="22"/>
      <c r="AP248" s="22" t="s">
        <v>8</v>
      </c>
      <c r="AQ248" s="22"/>
      <c r="AR248" s="22"/>
    </row>
    <row r="249" spans="1:44" ht="19.5" customHeight="1" x14ac:dyDescent="0.25">
      <c r="A249" s="477"/>
      <c r="B249" s="477"/>
      <c r="C249" s="477"/>
      <c r="D249" s="477"/>
      <c r="E249" s="477"/>
      <c r="F249" s="477"/>
      <c r="G249" s="477"/>
      <c r="H249" s="477"/>
      <c r="I249" s="477"/>
      <c r="J249" s="21" t="s">
        <v>18</v>
      </c>
      <c r="K249" s="22"/>
      <c r="L249" s="22" t="s">
        <v>16</v>
      </c>
      <c r="M249" s="22"/>
      <c r="N249" s="60"/>
      <c r="O249" s="27"/>
      <c r="P249" s="21" t="s">
        <v>18</v>
      </c>
      <c r="Q249" s="22"/>
      <c r="R249" s="22" t="s">
        <v>16</v>
      </c>
      <c r="S249" s="22"/>
      <c r="T249" s="60"/>
      <c r="U249" s="27"/>
      <c r="V249" s="21" t="s">
        <v>18</v>
      </c>
      <c r="W249" s="22"/>
      <c r="X249" s="22" t="s">
        <v>16</v>
      </c>
      <c r="Y249" s="22"/>
      <c r="Z249" s="60"/>
      <c r="AA249" s="27"/>
      <c r="AB249" s="21" t="s">
        <v>18</v>
      </c>
      <c r="AC249" s="22"/>
      <c r="AD249" s="22"/>
      <c r="AE249" s="22"/>
      <c r="AF249" s="60"/>
      <c r="AG249" s="27"/>
      <c r="AH249" s="21" t="s">
        <v>18</v>
      </c>
      <c r="AI249" s="22"/>
      <c r="AJ249" s="22"/>
      <c r="AK249" s="22"/>
      <c r="AL249" s="60"/>
      <c r="AM249" s="27"/>
      <c r="AN249" s="21" t="s">
        <v>18</v>
      </c>
      <c r="AO249" s="22"/>
      <c r="AP249" s="22"/>
      <c r="AQ249" s="22"/>
      <c r="AR249" s="22"/>
    </row>
    <row r="250" spans="1:44" ht="47.25" customHeight="1" x14ac:dyDescent="0.25">
      <c r="A250" s="477"/>
      <c r="B250" s="477"/>
      <c r="C250" s="477"/>
      <c r="D250" s="477"/>
      <c r="E250" s="477"/>
      <c r="F250" s="477"/>
      <c r="G250" s="477"/>
      <c r="H250" s="477"/>
      <c r="I250" s="477"/>
      <c r="J250" s="21" t="s">
        <v>46</v>
      </c>
      <c r="K250" s="22"/>
      <c r="L250" s="22" t="s">
        <v>16</v>
      </c>
      <c r="M250" s="22"/>
      <c r="N250" s="60"/>
      <c r="O250" s="59"/>
      <c r="P250" s="21" t="s">
        <v>46</v>
      </c>
      <c r="Q250" s="22"/>
      <c r="R250" s="22" t="s">
        <v>16</v>
      </c>
      <c r="S250" s="22"/>
      <c r="T250" s="60"/>
      <c r="U250" s="59"/>
      <c r="V250" s="21" t="s">
        <v>46</v>
      </c>
      <c r="W250" s="22"/>
      <c r="X250" s="22" t="s">
        <v>16</v>
      </c>
      <c r="Y250" s="22"/>
      <c r="Z250" s="60"/>
      <c r="AA250" s="59"/>
      <c r="AB250" s="21" t="s">
        <v>46</v>
      </c>
      <c r="AC250" s="22"/>
      <c r="AD250" s="22" t="s">
        <v>16</v>
      </c>
      <c r="AE250" s="22"/>
      <c r="AF250" s="60"/>
      <c r="AG250" s="59"/>
      <c r="AH250" s="21" t="s">
        <v>46</v>
      </c>
      <c r="AI250" s="22"/>
      <c r="AJ250" s="22" t="s">
        <v>16</v>
      </c>
      <c r="AK250" s="22"/>
      <c r="AL250" s="60"/>
      <c r="AM250" s="59"/>
      <c r="AN250" s="21" t="s">
        <v>46</v>
      </c>
      <c r="AO250" s="22"/>
      <c r="AP250" s="22" t="s">
        <v>16</v>
      </c>
      <c r="AQ250" s="22"/>
      <c r="AR250" s="22"/>
    </row>
    <row r="251" spans="1:44" ht="27.75" customHeight="1" x14ac:dyDescent="0.25">
      <c r="A251" s="477"/>
      <c r="B251" s="477"/>
      <c r="C251" s="477"/>
      <c r="D251" s="477"/>
      <c r="E251" s="477"/>
      <c r="F251" s="477"/>
      <c r="G251" s="477"/>
      <c r="H251" s="477"/>
      <c r="I251" s="477"/>
      <c r="J251" s="21" t="s">
        <v>106</v>
      </c>
      <c r="K251" s="22"/>
      <c r="L251" s="22" t="s">
        <v>8</v>
      </c>
      <c r="M251" s="22"/>
      <c r="N251" s="60"/>
      <c r="O251" s="59"/>
      <c r="P251" s="21" t="s">
        <v>106</v>
      </c>
      <c r="Q251" s="22"/>
      <c r="R251" s="22" t="s">
        <v>8</v>
      </c>
      <c r="S251" s="22"/>
      <c r="T251" s="60"/>
      <c r="U251" s="59"/>
      <c r="V251" s="21" t="s">
        <v>106</v>
      </c>
      <c r="W251" s="22"/>
      <c r="X251" s="22" t="s">
        <v>8</v>
      </c>
      <c r="Y251" s="22"/>
      <c r="Z251" s="60"/>
      <c r="AA251" s="59"/>
      <c r="AB251" s="21"/>
      <c r="AC251" s="22"/>
      <c r="AD251" s="22"/>
      <c r="AE251" s="22"/>
      <c r="AF251" s="60"/>
      <c r="AG251" s="59"/>
      <c r="AH251" s="21"/>
      <c r="AI251" s="22"/>
      <c r="AJ251" s="22"/>
      <c r="AK251" s="22"/>
      <c r="AL251" s="60"/>
      <c r="AM251" s="59"/>
      <c r="AN251" s="21"/>
      <c r="AO251" s="22"/>
      <c r="AP251" s="22"/>
      <c r="AQ251" s="22"/>
      <c r="AR251" s="22"/>
    </row>
    <row r="252" spans="1:44" ht="49.5" customHeight="1" x14ac:dyDescent="0.25">
      <c r="A252" s="477"/>
      <c r="B252" s="477"/>
      <c r="C252" s="477"/>
      <c r="D252" s="477"/>
      <c r="E252" s="477"/>
      <c r="F252" s="477"/>
      <c r="G252" s="477"/>
      <c r="H252" s="477"/>
      <c r="I252" s="477"/>
      <c r="J252" s="21" t="s">
        <v>107</v>
      </c>
      <c r="K252" s="22"/>
      <c r="L252" s="22" t="s">
        <v>8</v>
      </c>
      <c r="M252" s="22"/>
      <c r="N252" s="60"/>
      <c r="O252" s="59"/>
      <c r="P252" s="21" t="s">
        <v>107</v>
      </c>
      <c r="Q252" s="22"/>
      <c r="R252" s="22" t="s">
        <v>8</v>
      </c>
      <c r="S252" s="22"/>
      <c r="T252" s="60"/>
      <c r="U252" s="59"/>
      <c r="V252" s="21" t="s">
        <v>107</v>
      </c>
      <c r="W252" s="22"/>
      <c r="X252" s="22" t="s">
        <v>8</v>
      </c>
      <c r="Y252" s="22"/>
      <c r="Z252" s="60"/>
      <c r="AA252" s="59"/>
      <c r="AB252" s="21"/>
      <c r="AC252" s="22"/>
      <c r="AD252" s="22"/>
      <c r="AE252" s="22"/>
      <c r="AF252" s="60"/>
      <c r="AG252" s="59"/>
      <c r="AH252" s="21"/>
      <c r="AI252" s="22"/>
      <c r="AJ252" s="22"/>
      <c r="AK252" s="22"/>
      <c r="AL252" s="60"/>
      <c r="AM252" s="59"/>
      <c r="AN252" s="21"/>
      <c r="AO252" s="22"/>
      <c r="AP252" s="22"/>
      <c r="AQ252" s="22"/>
      <c r="AR252" s="22"/>
    </row>
    <row r="253" spans="1:44" ht="30.75" customHeight="1" x14ac:dyDescent="0.25">
      <c r="A253" s="477"/>
      <c r="B253" s="477"/>
      <c r="C253" s="477"/>
      <c r="D253" s="477"/>
      <c r="E253" s="477"/>
      <c r="F253" s="477"/>
      <c r="G253" s="477"/>
      <c r="H253" s="477"/>
      <c r="I253" s="477"/>
      <c r="J253" s="21" t="s">
        <v>108</v>
      </c>
      <c r="K253" s="22"/>
      <c r="L253" s="22" t="s">
        <v>8</v>
      </c>
      <c r="M253" s="22"/>
      <c r="N253" s="60"/>
      <c r="O253" s="59"/>
      <c r="P253" s="21" t="s">
        <v>108</v>
      </c>
      <c r="Q253" s="22"/>
      <c r="R253" s="22" t="s">
        <v>8</v>
      </c>
      <c r="S253" s="22"/>
      <c r="T253" s="60"/>
      <c r="U253" s="59"/>
      <c r="V253" s="21" t="s">
        <v>108</v>
      </c>
      <c r="W253" s="22"/>
      <c r="X253" s="22" t="s">
        <v>8</v>
      </c>
      <c r="Y253" s="22"/>
      <c r="Z253" s="60"/>
      <c r="AA253" s="59"/>
      <c r="AB253" s="21"/>
      <c r="AC253" s="22"/>
      <c r="AD253" s="22"/>
      <c r="AE253" s="22"/>
      <c r="AF253" s="60"/>
      <c r="AG253" s="59"/>
      <c r="AH253" s="21"/>
      <c r="AI253" s="22"/>
      <c r="AJ253" s="22"/>
      <c r="AK253" s="22"/>
      <c r="AL253" s="60"/>
      <c r="AM253" s="59"/>
      <c r="AN253" s="21"/>
      <c r="AO253" s="22"/>
      <c r="AP253" s="22"/>
      <c r="AQ253" s="22"/>
      <c r="AR253" s="22"/>
    </row>
    <row r="254" spans="1:44" ht="35.25" customHeight="1" x14ac:dyDescent="0.25">
      <c r="A254" s="477"/>
      <c r="B254" s="477"/>
      <c r="C254" s="477"/>
      <c r="D254" s="477"/>
      <c r="E254" s="477"/>
      <c r="F254" s="477"/>
      <c r="G254" s="477"/>
      <c r="H254" s="477"/>
      <c r="I254" s="477"/>
      <c r="J254" s="21" t="s">
        <v>109</v>
      </c>
      <c r="K254" s="22"/>
      <c r="L254" s="22" t="s">
        <v>14</v>
      </c>
      <c r="M254" s="22"/>
      <c r="N254" s="60"/>
      <c r="O254" s="59"/>
      <c r="P254" s="21" t="s">
        <v>109</v>
      </c>
      <c r="Q254" s="22"/>
      <c r="R254" s="22" t="s">
        <v>14</v>
      </c>
      <c r="S254" s="22"/>
      <c r="T254" s="60"/>
      <c r="U254" s="59"/>
      <c r="V254" s="21" t="s">
        <v>109</v>
      </c>
      <c r="W254" s="22"/>
      <c r="X254" s="22" t="s">
        <v>14</v>
      </c>
      <c r="Y254" s="22"/>
      <c r="Z254" s="60"/>
      <c r="AA254" s="59"/>
      <c r="AB254" s="21"/>
      <c r="AC254" s="22"/>
      <c r="AD254" s="22"/>
      <c r="AE254" s="22"/>
      <c r="AF254" s="60"/>
      <c r="AG254" s="59"/>
      <c r="AH254" s="21"/>
      <c r="AI254" s="22"/>
      <c r="AJ254" s="22"/>
      <c r="AK254" s="22"/>
      <c r="AL254" s="60"/>
      <c r="AM254" s="59"/>
      <c r="AN254" s="21"/>
      <c r="AO254" s="22"/>
      <c r="AP254" s="22"/>
      <c r="AQ254" s="22"/>
      <c r="AR254" s="22"/>
    </row>
    <row r="255" spans="1:44" ht="34.5" customHeight="1" x14ac:dyDescent="0.25">
      <c r="A255" s="477"/>
      <c r="B255" s="477"/>
      <c r="C255" s="477"/>
      <c r="D255" s="477"/>
      <c r="E255" s="477"/>
      <c r="F255" s="477"/>
      <c r="G255" s="477"/>
      <c r="H255" s="477"/>
      <c r="I255" s="477"/>
      <c r="J255" s="21" t="s">
        <v>110</v>
      </c>
      <c r="K255" s="22"/>
      <c r="L255" s="22" t="s">
        <v>16</v>
      </c>
      <c r="M255" s="22"/>
      <c r="N255" s="60"/>
      <c r="O255" s="59"/>
      <c r="P255" s="21" t="s">
        <v>110</v>
      </c>
      <c r="Q255" s="22"/>
      <c r="R255" s="22" t="s">
        <v>16</v>
      </c>
      <c r="S255" s="22"/>
      <c r="T255" s="60"/>
      <c r="U255" s="59"/>
      <c r="V255" s="21" t="s">
        <v>110</v>
      </c>
      <c r="W255" s="22"/>
      <c r="X255" s="22" t="s">
        <v>16</v>
      </c>
      <c r="Y255" s="22"/>
      <c r="Z255" s="60"/>
      <c r="AA255" s="59"/>
      <c r="AB255" s="21"/>
      <c r="AC255" s="22"/>
      <c r="AD255" s="22"/>
      <c r="AE255" s="22"/>
      <c r="AF255" s="60"/>
      <c r="AG255" s="59"/>
      <c r="AH255" s="21"/>
      <c r="AI255" s="22"/>
      <c r="AJ255" s="22"/>
      <c r="AK255" s="22"/>
      <c r="AL255" s="60"/>
      <c r="AM255" s="59"/>
      <c r="AN255" s="21"/>
      <c r="AO255" s="22"/>
      <c r="AP255" s="22"/>
      <c r="AQ255" s="22"/>
      <c r="AR255" s="22"/>
    </row>
    <row r="256" spans="1:44" ht="53.25" customHeight="1" x14ac:dyDescent="0.25">
      <c r="A256" s="477"/>
      <c r="B256" s="477"/>
      <c r="C256" s="477"/>
      <c r="D256" s="477"/>
      <c r="E256" s="477"/>
      <c r="F256" s="477"/>
      <c r="G256" s="477"/>
      <c r="H256" s="477"/>
      <c r="I256" s="477"/>
      <c r="J256" s="21" t="s">
        <v>111</v>
      </c>
      <c r="K256" s="22"/>
      <c r="L256" s="22" t="s">
        <v>14</v>
      </c>
      <c r="M256" s="22"/>
      <c r="N256" s="60"/>
      <c r="O256" s="59"/>
      <c r="P256" s="21" t="s">
        <v>111</v>
      </c>
      <c r="Q256" s="22"/>
      <c r="R256" s="22" t="s">
        <v>14</v>
      </c>
      <c r="S256" s="22"/>
      <c r="T256" s="60"/>
      <c r="U256" s="59"/>
      <c r="V256" s="21" t="s">
        <v>111</v>
      </c>
      <c r="W256" s="22"/>
      <c r="X256" s="22" t="s">
        <v>14</v>
      </c>
      <c r="Y256" s="22"/>
      <c r="Z256" s="60"/>
      <c r="AA256" s="59"/>
      <c r="AB256" s="21"/>
      <c r="AC256" s="22"/>
      <c r="AD256" s="22"/>
      <c r="AE256" s="22"/>
      <c r="AF256" s="60"/>
      <c r="AG256" s="59"/>
      <c r="AH256" s="21"/>
      <c r="AI256" s="22"/>
      <c r="AJ256" s="22"/>
      <c r="AK256" s="22"/>
      <c r="AL256" s="60"/>
      <c r="AM256" s="59"/>
      <c r="AN256" s="21"/>
      <c r="AO256" s="22"/>
      <c r="AP256" s="22"/>
      <c r="AQ256" s="22"/>
      <c r="AR256" s="22"/>
    </row>
    <row r="257" spans="1:65" ht="21" customHeight="1" x14ac:dyDescent="0.25">
      <c r="A257" s="477"/>
      <c r="B257" s="477"/>
      <c r="C257" s="477"/>
      <c r="D257" s="477"/>
      <c r="E257" s="477"/>
      <c r="F257" s="477"/>
      <c r="G257" s="477"/>
      <c r="H257" s="477"/>
      <c r="I257" s="477"/>
      <c r="J257" s="21" t="s">
        <v>45</v>
      </c>
      <c r="K257" s="22"/>
      <c r="L257" s="22"/>
      <c r="M257" s="22"/>
      <c r="N257" s="60"/>
      <c r="O257" s="59"/>
      <c r="P257" s="21" t="s">
        <v>45</v>
      </c>
      <c r="Q257" s="22"/>
      <c r="R257" s="22"/>
      <c r="S257" s="22"/>
      <c r="T257" s="60"/>
      <c r="U257" s="59"/>
      <c r="V257" s="21" t="s">
        <v>45</v>
      </c>
      <c r="W257" s="22"/>
      <c r="X257" s="22"/>
      <c r="Y257" s="22"/>
      <c r="Z257" s="60"/>
      <c r="AA257" s="59"/>
      <c r="AB257" s="21" t="s">
        <v>45</v>
      </c>
      <c r="AC257" s="22"/>
      <c r="AD257" s="22"/>
      <c r="AE257" s="22"/>
      <c r="AF257" s="60"/>
      <c r="AG257" s="59"/>
      <c r="AH257" s="21" t="s">
        <v>45</v>
      </c>
      <c r="AI257" s="22"/>
      <c r="AJ257" s="22"/>
      <c r="AK257" s="22"/>
      <c r="AL257" s="60"/>
      <c r="AM257" s="59"/>
      <c r="AN257" s="21" t="s">
        <v>45</v>
      </c>
      <c r="AO257" s="22"/>
      <c r="AP257" s="22"/>
      <c r="AQ257" s="22"/>
      <c r="AR257" s="22"/>
    </row>
    <row r="258" spans="1:65" s="54" customFormat="1" ht="33.75" customHeight="1" x14ac:dyDescent="0.25">
      <c r="A258" s="474" t="s">
        <v>99</v>
      </c>
      <c r="B258" s="475"/>
      <c r="C258" s="475"/>
      <c r="D258" s="475"/>
      <c r="E258" s="475"/>
      <c r="F258" s="475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75"/>
      <c r="R258" s="475"/>
      <c r="S258" s="475"/>
      <c r="T258" s="475"/>
      <c r="U258" s="475"/>
      <c r="V258" s="475"/>
      <c r="W258" s="475"/>
      <c r="X258" s="475"/>
      <c r="Y258" s="475"/>
      <c r="Z258" s="475"/>
      <c r="AA258" s="475"/>
      <c r="AB258" s="475"/>
      <c r="AC258" s="475"/>
      <c r="AD258" s="475"/>
      <c r="AE258" s="475"/>
      <c r="AF258" s="475"/>
      <c r="AG258" s="475"/>
      <c r="AH258" s="475"/>
      <c r="AI258" s="475"/>
      <c r="AJ258" s="475"/>
      <c r="AK258" s="475"/>
      <c r="AL258" s="475"/>
      <c r="AM258" s="475"/>
      <c r="AN258" s="475"/>
      <c r="AO258" s="475"/>
      <c r="AP258" s="475"/>
      <c r="AQ258" s="475"/>
      <c r="AR258" s="476"/>
      <c r="AS258" s="65"/>
      <c r="AT258" s="65"/>
      <c r="AU258" s="65"/>
      <c r="AV258" s="65"/>
      <c r="AW258" s="65"/>
      <c r="AX258" s="65"/>
      <c r="AY258" s="65"/>
      <c r="AZ258" s="65"/>
      <c r="BA258" s="65"/>
      <c r="BB258" s="65"/>
      <c r="BC258" s="65"/>
      <c r="BD258" s="65"/>
      <c r="BE258" s="65"/>
      <c r="BF258" s="65"/>
      <c r="BG258" s="65"/>
      <c r="BH258" s="65"/>
      <c r="BI258" s="65"/>
      <c r="BJ258" s="65"/>
      <c r="BK258" s="65"/>
      <c r="BL258" s="65"/>
      <c r="BM258" s="65"/>
    </row>
    <row r="259" spans="1:65" s="54" customFormat="1" ht="19.5" customHeight="1" x14ac:dyDescent="0.25">
      <c r="A259" s="30">
        <v>1</v>
      </c>
      <c r="B259" s="31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2"/>
      <c r="T259" s="33"/>
      <c r="U259" s="32"/>
      <c r="V259" s="34"/>
      <c r="W259" s="34"/>
      <c r="X259" s="34"/>
      <c r="Y259" s="32"/>
      <c r="Z259" s="32"/>
      <c r="AA259" s="33"/>
      <c r="AB259" s="32"/>
      <c r="AC259" s="34"/>
      <c r="AD259" s="34"/>
      <c r="AE259" s="34"/>
      <c r="AF259" s="32"/>
      <c r="AG259" s="20"/>
      <c r="AH259" s="37"/>
      <c r="AI259" s="37"/>
      <c r="AJ259" s="285"/>
      <c r="AK259" s="37"/>
      <c r="AL259" s="37"/>
      <c r="AM259" s="37"/>
      <c r="AN259" s="37"/>
      <c r="AO259" s="37"/>
      <c r="AP259" s="285"/>
      <c r="AQ259" s="37"/>
      <c r="AR259" s="37"/>
      <c r="AS259" s="65"/>
      <c r="AT259" s="65"/>
      <c r="AU259" s="65"/>
      <c r="AV259" s="65"/>
      <c r="AW259" s="65"/>
      <c r="AX259" s="65"/>
      <c r="AY259" s="65"/>
      <c r="AZ259" s="65"/>
      <c r="BA259" s="65"/>
      <c r="BB259" s="65"/>
      <c r="BC259" s="65"/>
      <c r="BD259" s="65"/>
      <c r="BE259" s="65"/>
      <c r="BF259" s="65"/>
      <c r="BG259" s="65"/>
      <c r="BH259" s="65"/>
      <c r="BI259" s="65"/>
      <c r="BJ259" s="65"/>
      <c r="BK259" s="65"/>
      <c r="BL259" s="65"/>
      <c r="BM259" s="65"/>
    </row>
    <row r="260" spans="1:65" s="54" customFormat="1" ht="21.75" customHeight="1" x14ac:dyDescent="0.25">
      <c r="A260" s="30">
        <v>2</v>
      </c>
      <c r="B260" s="31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2"/>
      <c r="T260" s="33"/>
      <c r="U260" s="32"/>
      <c r="V260" s="34"/>
      <c r="W260" s="34"/>
      <c r="X260" s="34"/>
      <c r="Y260" s="32"/>
      <c r="Z260" s="32"/>
      <c r="AA260" s="33"/>
      <c r="AB260" s="32"/>
      <c r="AC260" s="34"/>
      <c r="AD260" s="34"/>
      <c r="AE260" s="34"/>
      <c r="AF260" s="32"/>
      <c r="AG260" s="20"/>
      <c r="AH260" s="37"/>
      <c r="AI260" s="37"/>
      <c r="AJ260" s="285"/>
      <c r="AK260" s="37"/>
      <c r="AL260" s="37"/>
      <c r="AM260" s="37"/>
      <c r="AN260" s="37"/>
      <c r="AO260" s="37"/>
      <c r="AP260" s="285"/>
      <c r="AQ260" s="37"/>
      <c r="AR260" s="37"/>
      <c r="AS260" s="65"/>
      <c r="AT260" s="65"/>
      <c r="AU260" s="65"/>
      <c r="AV260" s="65"/>
      <c r="AW260" s="65"/>
      <c r="AX260" s="65"/>
      <c r="AY260" s="65"/>
      <c r="AZ260" s="65"/>
      <c r="BA260" s="65"/>
      <c r="BB260" s="65"/>
      <c r="BC260" s="65"/>
      <c r="BD260" s="65"/>
      <c r="BE260" s="65"/>
      <c r="BF260" s="65"/>
      <c r="BG260" s="65"/>
      <c r="BH260" s="65"/>
      <c r="BI260" s="65"/>
      <c r="BJ260" s="65"/>
      <c r="BK260" s="65"/>
      <c r="BL260" s="65"/>
      <c r="BM260" s="65"/>
    </row>
    <row r="261" spans="1:65" s="54" customFormat="1" ht="21.75" customHeight="1" x14ac:dyDescent="0.25">
      <c r="A261" s="30">
        <v>3</v>
      </c>
      <c r="B261" s="31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2"/>
      <c r="T261" s="33"/>
      <c r="U261" s="32"/>
      <c r="V261" s="34"/>
      <c r="W261" s="34"/>
      <c r="X261" s="34"/>
      <c r="Y261" s="32"/>
      <c r="Z261" s="32"/>
      <c r="AA261" s="33"/>
      <c r="AB261" s="32"/>
      <c r="AC261" s="34"/>
      <c r="AD261" s="34"/>
      <c r="AE261" s="34"/>
      <c r="AF261" s="32"/>
      <c r="AG261" s="32"/>
      <c r="AH261" s="33"/>
      <c r="AI261" s="32"/>
      <c r="AJ261" s="34"/>
      <c r="AK261" s="34"/>
      <c r="AL261" s="32"/>
      <c r="AM261" s="32"/>
      <c r="AN261" s="33"/>
      <c r="AO261" s="32"/>
      <c r="AP261" s="34"/>
      <c r="AQ261" s="34"/>
      <c r="AR261" s="34"/>
      <c r="AS261" s="65"/>
      <c r="AT261" s="65"/>
      <c r="AU261" s="65"/>
      <c r="AV261" s="65"/>
      <c r="AW261" s="65"/>
      <c r="AX261" s="65"/>
      <c r="AY261" s="65"/>
      <c r="AZ261" s="65"/>
      <c r="BA261" s="65"/>
      <c r="BB261" s="65"/>
      <c r="BC261" s="65"/>
      <c r="BD261" s="65"/>
      <c r="BE261" s="65"/>
      <c r="BF261" s="65"/>
      <c r="BG261" s="65"/>
      <c r="BH261" s="65"/>
      <c r="BI261" s="65"/>
      <c r="BJ261" s="65"/>
      <c r="BK261" s="65"/>
      <c r="BL261" s="65"/>
      <c r="BM261" s="65"/>
    </row>
    <row r="262" spans="1:65" s="109" customFormat="1" ht="48.75" customHeight="1" x14ac:dyDescent="0.25">
      <c r="A262" s="625" t="s">
        <v>21</v>
      </c>
      <c r="B262" s="626"/>
      <c r="C262" s="627"/>
      <c r="D262" s="110"/>
      <c r="E262" s="110"/>
      <c r="F262" s="110"/>
      <c r="G262" s="110"/>
      <c r="H262" s="110"/>
      <c r="I262" s="110"/>
      <c r="J262" s="110"/>
      <c r="K262" s="110"/>
      <c r="L262" s="295"/>
      <c r="M262" s="110"/>
      <c r="N262" s="110"/>
      <c r="O262" s="110"/>
      <c r="P262" s="110"/>
      <c r="Q262" s="110"/>
      <c r="R262" s="295"/>
      <c r="S262" s="110"/>
      <c r="T262" s="110"/>
      <c r="U262" s="110"/>
      <c r="V262" s="110"/>
      <c r="W262" s="110"/>
      <c r="X262" s="295"/>
      <c r="Y262" s="110"/>
      <c r="Z262" s="110"/>
      <c r="AA262" s="110"/>
      <c r="AB262" s="110"/>
      <c r="AC262" s="110"/>
      <c r="AD262" s="295"/>
      <c r="AE262" s="110"/>
      <c r="AF262" s="110"/>
      <c r="AG262" s="110"/>
      <c r="AH262" s="110"/>
      <c r="AI262" s="110"/>
      <c r="AJ262" s="295"/>
      <c r="AK262" s="110"/>
      <c r="AL262" s="110"/>
      <c r="AM262" s="110"/>
      <c r="AN262" s="110"/>
      <c r="AO262" s="110"/>
      <c r="AP262" s="295"/>
      <c r="AQ262" s="110"/>
      <c r="AR262" s="110"/>
      <c r="AS262" s="108"/>
      <c r="AT262" s="108"/>
      <c r="AU262" s="108"/>
      <c r="AV262" s="108"/>
      <c r="AW262" s="108"/>
      <c r="AX262" s="108"/>
      <c r="AY262" s="108"/>
      <c r="AZ262" s="108"/>
      <c r="BA262" s="108"/>
      <c r="BB262" s="108"/>
      <c r="BC262" s="108"/>
      <c r="BD262" s="108"/>
      <c r="BE262" s="108"/>
      <c r="BF262" s="108"/>
      <c r="BG262" s="108"/>
      <c r="BH262" s="108"/>
      <c r="BI262" s="108"/>
      <c r="BJ262" s="108"/>
      <c r="BK262" s="108"/>
      <c r="BL262" s="108"/>
      <c r="BM262" s="108"/>
    </row>
    <row r="263" spans="1:65" s="28" customFormat="1" x14ac:dyDescent="0.25">
      <c r="A263" s="628" t="s">
        <v>22</v>
      </c>
      <c r="B263" s="628"/>
      <c r="C263" s="628"/>
      <c r="D263" s="628"/>
      <c r="E263" s="628"/>
      <c r="F263" s="628"/>
      <c r="G263" s="628"/>
      <c r="H263" s="628"/>
      <c r="I263" s="628"/>
      <c r="J263" s="483" t="s">
        <v>11</v>
      </c>
      <c r="K263" s="39"/>
      <c r="L263" s="39" t="s">
        <v>5</v>
      </c>
      <c r="M263" s="39"/>
      <c r="N263" s="63"/>
      <c r="O263" s="42"/>
      <c r="P263" s="483" t="s">
        <v>11</v>
      </c>
      <c r="Q263" s="39"/>
      <c r="R263" s="39" t="s">
        <v>5</v>
      </c>
      <c r="S263" s="39"/>
      <c r="T263" s="63"/>
      <c r="U263" s="42"/>
      <c r="V263" s="483" t="s">
        <v>11</v>
      </c>
      <c r="W263" s="39"/>
      <c r="X263" s="39" t="s">
        <v>5</v>
      </c>
      <c r="Y263" s="39"/>
      <c r="Z263" s="63"/>
      <c r="AA263" s="42"/>
      <c r="AB263" s="483" t="s">
        <v>11</v>
      </c>
      <c r="AC263" s="39"/>
      <c r="AD263" s="39" t="s">
        <v>5</v>
      </c>
      <c r="AE263" s="39"/>
      <c r="AF263" s="63"/>
      <c r="AG263" s="42"/>
      <c r="AH263" s="483" t="s">
        <v>11</v>
      </c>
      <c r="AI263" s="39"/>
      <c r="AJ263" s="39" t="s">
        <v>5</v>
      </c>
      <c r="AK263" s="39"/>
      <c r="AL263" s="63"/>
      <c r="AM263" s="42"/>
      <c r="AN263" s="483" t="s">
        <v>11</v>
      </c>
      <c r="AO263" s="39"/>
      <c r="AP263" s="39" t="s">
        <v>5</v>
      </c>
      <c r="AQ263" s="39"/>
      <c r="AR263" s="3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</row>
    <row r="264" spans="1:65" s="28" customFormat="1" x14ac:dyDescent="0.25">
      <c r="A264" s="628"/>
      <c r="B264" s="628"/>
      <c r="C264" s="628"/>
      <c r="D264" s="628"/>
      <c r="E264" s="628"/>
      <c r="F264" s="628"/>
      <c r="G264" s="628"/>
      <c r="H264" s="628"/>
      <c r="I264" s="628"/>
      <c r="J264" s="484"/>
      <c r="K264" s="39"/>
      <c r="L264" s="39" t="s">
        <v>8</v>
      </c>
      <c r="M264" s="39"/>
      <c r="N264" s="29"/>
      <c r="O264" s="45"/>
      <c r="P264" s="484"/>
      <c r="Q264" s="39"/>
      <c r="R264" s="39" t="s">
        <v>8</v>
      </c>
      <c r="S264" s="39"/>
      <c r="T264" s="29"/>
      <c r="U264" s="45"/>
      <c r="V264" s="484"/>
      <c r="W264" s="39"/>
      <c r="X264" s="39" t="s">
        <v>8</v>
      </c>
      <c r="Y264" s="39"/>
      <c r="Z264" s="29"/>
      <c r="AA264" s="45"/>
      <c r="AB264" s="484"/>
      <c r="AC264" s="39"/>
      <c r="AD264" s="39" t="s">
        <v>8</v>
      </c>
      <c r="AE264" s="39"/>
      <c r="AF264" s="29"/>
      <c r="AG264" s="45"/>
      <c r="AH264" s="484"/>
      <c r="AI264" s="39"/>
      <c r="AJ264" s="39" t="s">
        <v>8</v>
      </c>
      <c r="AK264" s="39"/>
      <c r="AL264" s="29"/>
      <c r="AM264" s="45"/>
      <c r="AN264" s="484"/>
      <c r="AO264" s="39"/>
      <c r="AP264" s="39" t="s">
        <v>8</v>
      </c>
      <c r="AQ264" s="39"/>
      <c r="AR264" s="3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</row>
    <row r="265" spans="1:65" s="28" customFormat="1" x14ac:dyDescent="0.25">
      <c r="A265" s="628"/>
      <c r="B265" s="628"/>
      <c r="C265" s="628"/>
      <c r="D265" s="628"/>
      <c r="E265" s="628"/>
      <c r="F265" s="628"/>
      <c r="G265" s="628"/>
      <c r="H265" s="628"/>
      <c r="I265" s="628"/>
      <c r="J265" s="483" t="s">
        <v>41</v>
      </c>
      <c r="K265" s="39"/>
      <c r="L265" s="39" t="s">
        <v>5</v>
      </c>
      <c r="M265" s="39"/>
      <c r="N265" s="29"/>
      <c r="O265" s="45"/>
      <c r="P265" s="483" t="s">
        <v>41</v>
      </c>
      <c r="Q265" s="39"/>
      <c r="R265" s="39" t="s">
        <v>5</v>
      </c>
      <c r="S265" s="39"/>
      <c r="T265" s="29"/>
      <c r="U265" s="45"/>
      <c r="V265" s="483" t="s">
        <v>41</v>
      </c>
      <c r="W265" s="39"/>
      <c r="X265" s="39" t="s">
        <v>5</v>
      </c>
      <c r="Y265" s="39"/>
      <c r="Z265" s="29"/>
      <c r="AA265" s="45"/>
      <c r="AB265" s="483" t="s">
        <v>41</v>
      </c>
      <c r="AC265" s="39"/>
      <c r="AD265" s="39" t="s">
        <v>5</v>
      </c>
      <c r="AE265" s="39"/>
      <c r="AF265" s="29"/>
      <c r="AG265" s="45"/>
      <c r="AH265" s="483" t="s">
        <v>41</v>
      </c>
      <c r="AI265" s="39"/>
      <c r="AJ265" s="39" t="s">
        <v>5</v>
      </c>
      <c r="AK265" s="39"/>
      <c r="AL265" s="29"/>
      <c r="AM265" s="45"/>
      <c r="AN265" s="483" t="s">
        <v>41</v>
      </c>
      <c r="AO265" s="39"/>
      <c r="AP265" s="39" t="s">
        <v>5</v>
      </c>
      <c r="AQ265" s="39"/>
      <c r="AR265" s="3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</row>
    <row r="266" spans="1:65" s="28" customFormat="1" x14ac:dyDescent="0.25">
      <c r="A266" s="628"/>
      <c r="B266" s="628"/>
      <c r="C266" s="628"/>
      <c r="D266" s="628"/>
      <c r="E266" s="628"/>
      <c r="F266" s="628"/>
      <c r="G266" s="628"/>
      <c r="H266" s="628"/>
      <c r="I266" s="628"/>
      <c r="J266" s="484"/>
      <c r="K266" s="39"/>
      <c r="L266" s="39" t="s">
        <v>8</v>
      </c>
      <c r="M266" s="39"/>
      <c r="N266" s="29"/>
      <c r="O266" s="45"/>
      <c r="P266" s="484"/>
      <c r="Q266" s="39"/>
      <c r="R266" s="39" t="s">
        <v>8</v>
      </c>
      <c r="S266" s="39"/>
      <c r="T266" s="29"/>
      <c r="U266" s="45"/>
      <c r="V266" s="484"/>
      <c r="W266" s="39"/>
      <c r="X266" s="39" t="s">
        <v>8</v>
      </c>
      <c r="Y266" s="39"/>
      <c r="Z266" s="29"/>
      <c r="AA266" s="45"/>
      <c r="AB266" s="484"/>
      <c r="AC266" s="39"/>
      <c r="AD266" s="39" t="s">
        <v>8</v>
      </c>
      <c r="AE266" s="39"/>
      <c r="AF266" s="29"/>
      <c r="AG266" s="45"/>
      <c r="AH266" s="484"/>
      <c r="AI266" s="39"/>
      <c r="AJ266" s="39" t="s">
        <v>8</v>
      </c>
      <c r="AK266" s="39"/>
      <c r="AL266" s="29"/>
      <c r="AM266" s="45"/>
      <c r="AN266" s="484"/>
      <c r="AO266" s="39"/>
      <c r="AP266" s="39" t="s">
        <v>8</v>
      </c>
      <c r="AQ266" s="39"/>
      <c r="AR266" s="3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</row>
    <row r="267" spans="1:65" s="28" customFormat="1" ht="27.75" customHeight="1" x14ac:dyDescent="0.25">
      <c r="A267" s="628"/>
      <c r="B267" s="628"/>
      <c r="C267" s="628"/>
      <c r="D267" s="628"/>
      <c r="E267" s="628"/>
      <c r="F267" s="628"/>
      <c r="G267" s="628"/>
      <c r="H267" s="628"/>
      <c r="I267" s="628"/>
      <c r="J267" s="483" t="s">
        <v>42</v>
      </c>
      <c r="K267" s="39"/>
      <c r="L267" s="39" t="s">
        <v>5</v>
      </c>
      <c r="M267" s="39"/>
      <c r="N267" s="29"/>
      <c r="O267" s="45"/>
      <c r="P267" s="483" t="s">
        <v>42</v>
      </c>
      <c r="Q267" s="39"/>
      <c r="R267" s="39" t="s">
        <v>5</v>
      </c>
      <c r="S267" s="39"/>
      <c r="T267" s="29"/>
      <c r="U267" s="45"/>
      <c r="V267" s="483" t="s">
        <v>42</v>
      </c>
      <c r="W267" s="39"/>
      <c r="X267" s="39" t="s">
        <v>5</v>
      </c>
      <c r="Y267" s="39"/>
      <c r="Z267" s="29"/>
      <c r="AA267" s="45"/>
      <c r="AB267" s="483" t="s">
        <v>42</v>
      </c>
      <c r="AC267" s="39"/>
      <c r="AD267" s="39" t="s">
        <v>5</v>
      </c>
      <c r="AE267" s="39"/>
      <c r="AF267" s="29"/>
      <c r="AG267" s="45"/>
      <c r="AH267" s="483" t="s">
        <v>42</v>
      </c>
      <c r="AI267" s="39"/>
      <c r="AJ267" s="39" t="s">
        <v>5</v>
      </c>
      <c r="AK267" s="39"/>
      <c r="AL267" s="29"/>
      <c r="AM267" s="45"/>
      <c r="AN267" s="483" t="s">
        <v>42</v>
      </c>
      <c r="AO267" s="39"/>
      <c r="AP267" s="39" t="s">
        <v>5</v>
      </c>
      <c r="AQ267" s="39"/>
      <c r="AR267" s="3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</row>
    <row r="268" spans="1:65" s="28" customFormat="1" ht="27.75" customHeight="1" x14ac:dyDescent="0.25">
      <c r="A268" s="628"/>
      <c r="B268" s="628"/>
      <c r="C268" s="628"/>
      <c r="D268" s="628"/>
      <c r="E268" s="628"/>
      <c r="F268" s="628"/>
      <c r="G268" s="628"/>
      <c r="H268" s="628"/>
      <c r="I268" s="628"/>
      <c r="J268" s="484"/>
      <c r="K268" s="39"/>
      <c r="L268" s="39" t="s">
        <v>8</v>
      </c>
      <c r="M268" s="39"/>
      <c r="N268" s="29"/>
      <c r="O268" s="45"/>
      <c r="P268" s="484"/>
      <c r="Q268" s="39"/>
      <c r="R268" s="39" t="s">
        <v>8</v>
      </c>
      <c r="S268" s="39"/>
      <c r="T268" s="29"/>
      <c r="U268" s="45"/>
      <c r="V268" s="484"/>
      <c r="W268" s="39"/>
      <c r="X268" s="39" t="s">
        <v>8</v>
      </c>
      <c r="Y268" s="39"/>
      <c r="Z268" s="29"/>
      <c r="AA268" s="45"/>
      <c r="AB268" s="484"/>
      <c r="AC268" s="39"/>
      <c r="AD268" s="39" t="s">
        <v>8</v>
      </c>
      <c r="AE268" s="39"/>
      <c r="AF268" s="29"/>
      <c r="AG268" s="45"/>
      <c r="AH268" s="484"/>
      <c r="AI268" s="39"/>
      <c r="AJ268" s="39" t="s">
        <v>8</v>
      </c>
      <c r="AK268" s="39"/>
      <c r="AL268" s="29"/>
      <c r="AM268" s="45"/>
      <c r="AN268" s="484"/>
      <c r="AO268" s="39"/>
      <c r="AP268" s="39" t="s">
        <v>8</v>
      </c>
      <c r="AQ268" s="39"/>
      <c r="AR268" s="3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</row>
    <row r="269" spans="1:65" s="28" customFormat="1" ht="22.5" customHeight="1" x14ac:dyDescent="0.25">
      <c r="A269" s="628"/>
      <c r="B269" s="628"/>
      <c r="C269" s="628"/>
      <c r="D269" s="628"/>
      <c r="E269" s="628"/>
      <c r="F269" s="628"/>
      <c r="G269" s="628"/>
      <c r="H269" s="628"/>
      <c r="I269" s="628"/>
      <c r="J269" s="483" t="s">
        <v>43</v>
      </c>
      <c r="K269" s="39"/>
      <c r="L269" s="39" t="s">
        <v>5</v>
      </c>
      <c r="M269" s="39"/>
      <c r="N269" s="29"/>
      <c r="O269" s="45"/>
      <c r="P269" s="483" t="s">
        <v>43</v>
      </c>
      <c r="Q269" s="39"/>
      <c r="R269" s="39" t="s">
        <v>5</v>
      </c>
      <c r="S269" s="39"/>
      <c r="T269" s="29"/>
      <c r="U269" s="45"/>
      <c r="V269" s="483" t="s">
        <v>43</v>
      </c>
      <c r="W269" s="39"/>
      <c r="X269" s="39" t="s">
        <v>5</v>
      </c>
      <c r="Y269" s="39"/>
      <c r="Z269" s="29"/>
      <c r="AA269" s="45"/>
      <c r="AB269" s="483" t="s">
        <v>43</v>
      </c>
      <c r="AC269" s="39"/>
      <c r="AD269" s="39" t="s">
        <v>5</v>
      </c>
      <c r="AE269" s="39"/>
      <c r="AF269" s="29"/>
      <c r="AG269" s="45"/>
      <c r="AH269" s="483" t="s">
        <v>43</v>
      </c>
      <c r="AI269" s="39"/>
      <c r="AJ269" s="39" t="s">
        <v>5</v>
      </c>
      <c r="AK269" s="39"/>
      <c r="AL269" s="29"/>
      <c r="AM269" s="45"/>
      <c r="AN269" s="483" t="s">
        <v>43</v>
      </c>
      <c r="AO269" s="39"/>
      <c r="AP269" s="39" t="s">
        <v>5</v>
      </c>
      <c r="AQ269" s="39"/>
      <c r="AR269" s="3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</row>
    <row r="270" spans="1:65" s="28" customFormat="1" ht="22.5" customHeight="1" x14ac:dyDescent="0.25">
      <c r="A270" s="628"/>
      <c r="B270" s="628"/>
      <c r="C270" s="628"/>
      <c r="D270" s="628"/>
      <c r="E270" s="628"/>
      <c r="F270" s="628"/>
      <c r="G270" s="628"/>
      <c r="H270" s="628"/>
      <c r="I270" s="628"/>
      <c r="J270" s="484"/>
      <c r="K270" s="39"/>
      <c r="L270" s="39" t="s">
        <v>8</v>
      </c>
      <c r="M270" s="39"/>
      <c r="N270" s="29"/>
      <c r="O270" s="45"/>
      <c r="P270" s="484"/>
      <c r="Q270" s="39"/>
      <c r="R270" s="39" t="s">
        <v>8</v>
      </c>
      <c r="S270" s="39"/>
      <c r="T270" s="29"/>
      <c r="U270" s="45"/>
      <c r="V270" s="484"/>
      <c r="W270" s="39"/>
      <c r="X270" s="39" t="s">
        <v>8</v>
      </c>
      <c r="Y270" s="39"/>
      <c r="Z270" s="29"/>
      <c r="AA270" s="45"/>
      <c r="AB270" s="484"/>
      <c r="AC270" s="39"/>
      <c r="AD270" s="39" t="s">
        <v>8</v>
      </c>
      <c r="AE270" s="39"/>
      <c r="AF270" s="29"/>
      <c r="AG270" s="45"/>
      <c r="AH270" s="484"/>
      <c r="AI270" s="39"/>
      <c r="AJ270" s="39" t="s">
        <v>8</v>
      </c>
      <c r="AK270" s="39"/>
      <c r="AL270" s="29"/>
      <c r="AM270" s="45"/>
      <c r="AN270" s="484"/>
      <c r="AO270" s="39"/>
      <c r="AP270" s="39" t="s">
        <v>8</v>
      </c>
      <c r="AQ270" s="39"/>
      <c r="AR270" s="3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</row>
    <row r="271" spans="1:65" s="28" customFormat="1" ht="22.5" customHeight="1" x14ac:dyDescent="0.25">
      <c r="A271" s="628"/>
      <c r="B271" s="628"/>
      <c r="C271" s="628"/>
      <c r="D271" s="628"/>
      <c r="E271" s="628"/>
      <c r="F271" s="628"/>
      <c r="G271" s="628"/>
      <c r="H271" s="628"/>
      <c r="I271" s="628"/>
      <c r="J271" s="485" t="s">
        <v>12</v>
      </c>
      <c r="K271" s="39"/>
      <c r="L271" s="39" t="s">
        <v>8</v>
      </c>
      <c r="M271" s="485"/>
      <c r="N271" s="29"/>
      <c r="O271" s="45"/>
      <c r="P271" s="485" t="s">
        <v>12</v>
      </c>
      <c r="Q271" s="39"/>
      <c r="R271" s="39" t="s">
        <v>8</v>
      </c>
      <c r="S271" s="485"/>
      <c r="T271" s="29"/>
      <c r="U271" s="45"/>
      <c r="V271" s="485" t="s">
        <v>12</v>
      </c>
      <c r="W271" s="39"/>
      <c r="X271" s="39" t="s">
        <v>8</v>
      </c>
      <c r="Y271" s="485"/>
      <c r="Z271" s="29"/>
      <c r="AA271" s="45"/>
      <c r="AB271" s="485" t="s">
        <v>12</v>
      </c>
      <c r="AC271" s="39"/>
      <c r="AD271" s="39" t="s">
        <v>8</v>
      </c>
      <c r="AE271" s="485"/>
      <c r="AF271" s="29"/>
      <c r="AG271" s="45"/>
      <c r="AH271" s="485" t="s">
        <v>12</v>
      </c>
      <c r="AI271" s="39"/>
      <c r="AJ271" s="39" t="s">
        <v>8</v>
      </c>
      <c r="AK271" s="485"/>
      <c r="AL271" s="29"/>
      <c r="AM271" s="45"/>
      <c r="AN271" s="485" t="s">
        <v>12</v>
      </c>
      <c r="AO271" s="39"/>
      <c r="AP271" s="39" t="s">
        <v>8</v>
      </c>
      <c r="AQ271" s="485"/>
      <c r="AR271" s="485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</row>
    <row r="272" spans="1:65" s="28" customFormat="1" x14ac:dyDescent="0.25">
      <c r="A272" s="628"/>
      <c r="B272" s="628"/>
      <c r="C272" s="628"/>
      <c r="D272" s="628"/>
      <c r="E272" s="628"/>
      <c r="F272" s="628"/>
      <c r="G272" s="628"/>
      <c r="H272" s="628"/>
      <c r="I272" s="628"/>
      <c r="J272" s="486"/>
      <c r="K272" s="39"/>
      <c r="L272" s="39" t="s">
        <v>5</v>
      </c>
      <c r="M272" s="486"/>
      <c r="N272" s="29"/>
      <c r="O272" s="45"/>
      <c r="P272" s="486"/>
      <c r="Q272" s="39"/>
      <c r="R272" s="39" t="s">
        <v>5</v>
      </c>
      <c r="S272" s="486"/>
      <c r="T272" s="29"/>
      <c r="U272" s="45"/>
      <c r="V272" s="486"/>
      <c r="W272" s="39"/>
      <c r="X272" s="39" t="s">
        <v>5</v>
      </c>
      <c r="Y272" s="486"/>
      <c r="Z272" s="29"/>
      <c r="AA272" s="45"/>
      <c r="AB272" s="486"/>
      <c r="AC272" s="39"/>
      <c r="AD272" s="39" t="s">
        <v>5</v>
      </c>
      <c r="AE272" s="486"/>
      <c r="AF272" s="29"/>
      <c r="AG272" s="45"/>
      <c r="AH272" s="486"/>
      <c r="AI272" s="39"/>
      <c r="AJ272" s="39" t="s">
        <v>5</v>
      </c>
      <c r="AK272" s="486"/>
      <c r="AL272" s="29"/>
      <c r="AM272" s="45"/>
      <c r="AN272" s="486"/>
      <c r="AO272" s="39"/>
      <c r="AP272" s="39" t="s">
        <v>5</v>
      </c>
      <c r="AQ272" s="486"/>
      <c r="AR272" s="486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</row>
    <row r="273" spans="1:65" s="28" customFormat="1" ht="42.75" x14ac:dyDescent="0.25">
      <c r="A273" s="628"/>
      <c r="B273" s="628"/>
      <c r="C273" s="628"/>
      <c r="D273" s="628"/>
      <c r="E273" s="628"/>
      <c r="F273" s="628"/>
      <c r="G273" s="628"/>
      <c r="H273" s="628"/>
      <c r="I273" s="628"/>
      <c r="J273" s="38" t="s">
        <v>13</v>
      </c>
      <c r="K273" s="39"/>
      <c r="L273" s="39" t="s">
        <v>14</v>
      </c>
      <c r="M273" s="39"/>
      <c r="N273" s="29"/>
      <c r="O273" s="45"/>
      <c r="P273" s="38" t="s">
        <v>13</v>
      </c>
      <c r="Q273" s="39"/>
      <c r="R273" s="39" t="s">
        <v>14</v>
      </c>
      <c r="S273" s="39"/>
      <c r="T273" s="29"/>
      <c r="U273" s="45"/>
      <c r="V273" s="38" t="s">
        <v>13</v>
      </c>
      <c r="W273" s="39"/>
      <c r="X273" s="39" t="s">
        <v>14</v>
      </c>
      <c r="Y273" s="39"/>
      <c r="Z273" s="29"/>
      <c r="AA273" s="45"/>
      <c r="AB273" s="38" t="s">
        <v>13</v>
      </c>
      <c r="AC273" s="39"/>
      <c r="AD273" s="39" t="s">
        <v>14</v>
      </c>
      <c r="AE273" s="39"/>
      <c r="AF273" s="29"/>
      <c r="AG273" s="45"/>
      <c r="AH273" s="38" t="s">
        <v>13</v>
      </c>
      <c r="AI273" s="39"/>
      <c r="AJ273" s="39" t="s">
        <v>14</v>
      </c>
      <c r="AK273" s="39"/>
      <c r="AL273" s="29"/>
      <c r="AM273" s="45"/>
      <c r="AN273" s="38" t="s">
        <v>13</v>
      </c>
      <c r="AO273" s="39"/>
      <c r="AP273" s="39" t="s">
        <v>14</v>
      </c>
      <c r="AQ273" s="39"/>
      <c r="AR273" s="3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</row>
    <row r="274" spans="1:65" s="28" customFormat="1" ht="38.25" customHeight="1" x14ac:dyDescent="0.25">
      <c r="A274" s="628"/>
      <c r="B274" s="628"/>
      <c r="C274" s="628"/>
      <c r="D274" s="628"/>
      <c r="E274" s="628"/>
      <c r="F274" s="628"/>
      <c r="G274" s="628"/>
      <c r="H274" s="628"/>
      <c r="I274" s="628"/>
      <c r="J274" s="38" t="s">
        <v>44</v>
      </c>
      <c r="K274" s="39"/>
      <c r="L274" s="39" t="s">
        <v>14</v>
      </c>
      <c r="M274" s="39"/>
      <c r="N274" s="29"/>
      <c r="O274" s="45"/>
      <c r="P274" s="38" t="s">
        <v>44</v>
      </c>
      <c r="Q274" s="39"/>
      <c r="R274" s="39" t="s">
        <v>14</v>
      </c>
      <c r="S274" s="39"/>
      <c r="T274" s="29"/>
      <c r="U274" s="45"/>
      <c r="V274" s="38" t="s">
        <v>44</v>
      </c>
      <c r="W274" s="39"/>
      <c r="X274" s="39" t="s">
        <v>14</v>
      </c>
      <c r="Y274" s="39"/>
      <c r="Z274" s="29"/>
      <c r="AA274" s="45"/>
      <c r="AB274" s="38" t="s">
        <v>44</v>
      </c>
      <c r="AC274" s="39"/>
      <c r="AD274" s="39" t="s">
        <v>14</v>
      </c>
      <c r="AE274" s="39"/>
      <c r="AF274" s="29"/>
      <c r="AG274" s="45"/>
      <c r="AH274" s="38" t="s">
        <v>44</v>
      </c>
      <c r="AI274" s="39"/>
      <c r="AJ274" s="39" t="s">
        <v>14</v>
      </c>
      <c r="AK274" s="39"/>
      <c r="AL274" s="29"/>
      <c r="AM274" s="45"/>
      <c r="AN274" s="38" t="s">
        <v>44</v>
      </c>
      <c r="AO274" s="39"/>
      <c r="AP274" s="39" t="s">
        <v>14</v>
      </c>
      <c r="AQ274" s="39"/>
      <c r="AR274" s="3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</row>
    <row r="275" spans="1:65" s="28" customFormat="1" ht="60" customHeight="1" x14ac:dyDescent="0.25">
      <c r="A275" s="628"/>
      <c r="B275" s="628"/>
      <c r="C275" s="628"/>
      <c r="D275" s="628"/>
      <c r="E275" s="628"/>
      <c r="F275" s="628"/>
      <c r="G275" s="628"/>
      <c r="H275" s="628"/>
      <c r="I275" s="628"/>
      <c r="J275" s="38" t="s">
        <v>15</v>
      </c>
      <c r="K275" s="39"/>
      <c r="L275" s="39" t="s">
        <v>16</v>
      </c>
      <c r="M275" s="39"/>
      <c r="N275" s="29"/>
      <c r="O275" s="45"/>
      <c r="P275" s="38" t="s">
        <v>15</v>
      </c>
      <c r="Q275" s="39"/>
      <c r="R275" s="39" t="s">
        <v>16</v>
      </c>
      <c r="S275" s="39"/>
      <c r="T275" s="29"/>
      <c r="U275" s="45"/>
      <c r="V275" s="38" t="s">
        <v>15</v>
      </c>
      <c r="W275" s="39"/>
      <c r="X275" s="39" t="s">
        <v>16</v>
      </c>
      <c r="Y275" s="39"/>
      <c r="Z275" s="29"/>
      <c r="AA275" s="45"/>
      <c r="AB275" s="38" t="s">
        <v>15</v>
      </c>
      <c r="AC275" s="39"/>
      <c r="AD275" s="39" t="s">
        <v>16</v>
      </c>
      <c r="AE275" s="39"/>
      <c r="AF275" s="29"/>
      <c r="AG275" s="45"/>
      <c r="AH275" s="38" t="s">
        <v>15</v>
      </c>
      <c r="AI275" s="39"/>
      <c r="AJ275" s="39" t="s">
        <v>16</v>
      </c>
      <c r="AK275" s="39"/>
      <c r="AL275" s="29"/>
      <c r="AM275" s="45"/>
      <c r="AN275" s="38" t="s">
        <v>15</v>
      </c>
      <c r="AO275" s="39"/>
      <c r="AP275" s="39" t="s">
        <v>16</v>
      </c>
      <c r="AQ275" s="39"/>
      <c r="AR275" s="3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</row>
    <row r="276" spans="1:65" s="28" customFormat="1" ht="32.25" customHeight="1" x14ac:dyDescent="0.25">
      <c r="A276" s="628"/>
      <c r="B276" s="628"/>
      <c r="C276" s="628"/>
      <c r="D276" s="628"/>
      <c r="E276" s="628"/>
      <c r="F276" s="628"/>
      <c r="G276" s="628"/>
      <c r="H276" s="628"/>
      <c r="I276" s="628"/>
      <c r="J276" s="38" t="s">
        <v>17</v>
      </c>
      <c r="K276" s="39"/>
      <c r="L276" s="39" t="s">
        <v>8</v>
      </c>
      <c r="M276" s="39"/>
      <c r="N276" s="29"/>
      <c r="O276" s="45"/>
      <c r="P276" s="38" t="s">
        <v>17</v>
      </c>
      <c r="Q276" s="39"/>
      <c r="R276" s="39" t="s">
        <v>8</v>
      </c>
      <c r="S276" s="39"/>
      <c r="T276" s="29"/>
      <c r="U276" s="45"/>
      <c r="V276" s="38" t="s">
        <v>17</v>
      </c>
      <c r="W276" s="39"/>
      <c r="X276" s="39" t="s">
        <v>8</v>
      </c>
      <c r="Y276" s="39"/>
      <c r="Z276" s="29"/>
      <c r="AA276" s="45"/>
      <c r="AB276" s="38" t="s">
        <v>17</v>
      </c>
      <c r="AC276" s="39"/>
      <c r="AD276" s="39" t="s">
        <v>8</v>
      </c>
      <c r="AE276" s="39"/>
      <c r="AF276" s="29"/>
      <c r="AG276" s="45"/>
      <c r="AH276" s="38" t="s">
        <v>17</v>
      </c>
      <c r="AI276" s="39"/>
      <c r="AJ276" s="39" t="s">
        <v>8</v>
      </c>
      <c r="AK276" s="39"/>
      <c r="AL276" s="29"/>
      <c r="AM276" s="45"/>
      <c r="AN276" s="38" t="s">
        <v>17</v>
      </c>
      <c r="AO276" s="39"/>
      <c r="AP276" s="39" t="s">
        <v>8</v>
      </c>
      <c r="AQ276" s="39"/>
      <c r="AR276" s="3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</row>
    <row r="277" spans="1:65" s="28" customFormat="1" ht="28.5" x14ac:dyDescent="0.25">
      <c r="A277" s="628"/>
      <c r="B277" s="628"/>
      <c r="C277" s="628"/>
      <c r="D277" s="628"/>
      <c r="E277" s="628"/>
      <c r="F277" s="628"/>
      <c r="G277" s="628"/>
      <c r="H277" s="628"/>
      <c r="I277" s="628"/>
      <c r="J277" s="38" t="s">
        <v>18</v>
      </c>
      <c r="K277" s="39"/>
      <c r="L277" s="39" t="s">
        <v>16</v>
      </c>
      <c r="M277" s="39"/>
      <c r="N277" s="29"/>
      <c r="O277" s="45"/>
      <c r="P277" s="38" t="s">
        <v>18</v>
      </c>
      <c r="Q277" s="39"/>
      <c r="R277" s="39" t="s">
        <v>16</v>
      </c>
      <c r="S277" s="39"/>
      <c r="T277" s="29"/>
      <c r="U277" s="45"/>
      <c r="V277" s="38" t="s">
        <v>18</v>
      </c>
      <c r="W277" s="39"/>
      <c r="X277" s="39" t="s">
        <v>16</v>
      </c>
      <c r="Y277" s="39"/>
      <c r="Z277" s="29"/>
      <c r="AA277" s="45"/>
      <c r="AB277" s="38" t="s">
        <v>18</v>
      </c>
      <c r="AC277" s="39"/>
      <c r="AD277" s="39"/>
      <c r="AE277" s="39"/>
      <c r="AF277" s="29"/>
      <c r="AG277" s="45"/>
      <c r="AH277" s="38" t="s">
        <v>18</v>
      </c>
      <c r="AI277" s="39"/>
      <c r="AJ277" s="39"/>
      <c r="AK277" s="39"/>
      <c r="AL277" s="29"/>
      <c r="AM277" s="45"/>
      <c r="AN277" s="38" t="s">
        <v>18</v>
      </c>
      <c r="AO277" s="39"/>
      <c r="AP277" s="39"/>
      <c r="AQ277" s="39"/>
      <c r="AR277" s="3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</row>
    <row r="278" spans="1:65" s="28" customFormat="1" ht="42.75" x14ac:dyDescent="0.25">
      <c r="A278" s="628"/>
      <c r="B278" s="628"/>
      <c r="C278" s="628"/>
      <c r="D278" s="628"/>
      <c r="E278" s="628"/>
      <c r="F278" s="628"/>
      <c r="G278" s="628"/>
      <c r="H278" s="628"/>
      <c r="I278" s="628"/>
      <c r="J278" s="38" t="s">
        <v>46</v>
      </c>
      <c r="K278" s="39"/>
      <c r="L278" s="39" t="s">
        <v>16</v>
      </c>
      <c r="M278" s="39"/>
      <c r="N278" s="29"/>
      <c r="O278" s="64"/>
      <c r="P278" s="38" t="s">
        <v>46</v>
      </c>
      <c r="Q278" s="39"/>
      <c r="R278" s="39" t="s">
        <v>16</v>
      </c>
      <c r="S278" s="39"/>
      <c r="T278" s="29"/>
      <c r="U278" s="64"/>
      <c r="V278" s="38" t="s">
        <v>46</v>
      </c>
      <c r="W278" s="39"/>
      <c r="X278" s="39" t="s">
        <v>16</v>
      </c>
      <c r="Y278" s="39"/>
      <c r="Z278" s="29"/>
      <c r="AA278" s="64"/>
      <c r="AB278" s="38" t="s">
        <v>46</v>
      </c>
      <c r="AC278" s="39"/>
      <c r="AD278" s="39" t="s">
        <v>16</v>
      </c>
      <c r="AE278" s="39"/>
      <c r="AF278" s="29"/>
      <c r="AG278" s="64"/>
      <c r="AH278" s="38" t="s">
        <v>46</v>
      </c>
      <c r="AI278" s="39"/>
      <c r="AJ278" s="39" t="s">
        <v>16</v>
      </c>
      <c r="AK278" s="39"/>
      <c r="AL278" s="29"/>
      <c r="AM278" s="64"/>
      <c r="AN278" s="38" t="s">
        <v>46</v>
      </c>
      <c r="AO278" s="39"/>
      <c r="AP278" s="39" t="s">
        <v>16</v>
      </c>
      <c r="AQ278" s="39"/>
      <c r="AR278" s="3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</row>
    <row r="279" spans="1:65" s="28" customFormat="1" x14ac:dyDescent="0.25">
      <c r="A279" s="628"/>
      <c r="B279" s="628"/>
      <c r="C279" s="628"/>
      <c r="D279" s="628"/>
      <c r="E279" s="628"/>
      <c r="F279" s="628"/>
      <c r="G279" s="628"/>
      <c r="H279" s="628"/>
      <c r="I279" s="628"/>
      <c r="J279" s="38" t="s">
        <v>106</v>
      </c>
      <c r="K279" s="39"/>
      <c r="L279" s="39" t="s">
        <v>8</v>
      </c>
      <c r="M279" s="39"/>
      <c r="N279" s="29"/>
      <c r="O279" s="64"/>
      <c r="P279" s="38" t="s">
        <v>106</v>
      </c>
      <c r="Q279" s="39"/>
      <c r="R279" s="39" t="s">
        <v>8</v>
      </c>
      <c r="S279" s="39"/>
      <c r="T279" s="29"/>
      <c r="U279" s="64"/>
      <c r="V279" s="38" t="s">
        <v>106</v>
      </c>
      <c r="W279" s="39"/>
      <c r="X279" s="39" t="s">
        <v>8</v>
      </c>
      <c r="Y279" s="39"/>
      <c r="Z279" s="29"/>
      <c r="AA279" s="64"/>
      <c r="AB279" s="38"/>
      <c r="AC279" s="39"/>
      <c r="AD279" s="39"/>
      <c r="AE279" s="39"/>
      <c r="AF279" s="29"/>
      <c r="AG279" s="64"/>
      <c r="AH279" s="38"/>
      <c r="AI279" s="39"/>
      <c r="AJ279" s="39"/>
      <c r="AK279" s="39"/>
      <c r="AL279" s="29"/>
      <c r="AM279" s="64"/>
      <c r="AN279" s="38"/>
      <c r="AO279" s="39"/>
      <c r="AP279" s="39"/>
      <c r="AQ279" s="39"/>
      <c r="AR279" s="3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</row>
    <row r="280" spans="1:65" s="28" customFormat="1" ht="42.75" x14ac:dyDescent="0.25">
      <c r="A280" s="628"/>
      <c r="B280" s="628"/>
      <c r="C280" s="628"/>
      <c r="D280" s="628"/>
      <c r="E280" s="628"/>
      <c r="F280" s="628"/>
      <c r="G280" s="628"/>
      <c r="H280" s="628"/>
      <c r="I280" s="628"/>
      <c r="J280" s="38" t="s">
        <v>107</v>
      </c>
      <c r="K280" s="39"/>
      <c r="L280" s="39" t="s">
        <v>8</v>
      </c>
      <c r="M280" s="39"/>
      <c r="N280" s="29"/>
      <c r="O280" s="64"/>
      <c r="P280" s="38" t="s">
        <v>107</v>
      </c>
      <c r="Q280" s="39"/>
      <c r="R280" s="39" t="s">
        <v>8</v>
      </c>
      <c r="S280" s="39"/>
      <c r="T280" s="29"/>
      <c r="U280" s="64"/>
      <c r="V280" s="38" t="s">
        <v>107</v>
      </c>
      <c r="W280" s="39"/>
      <c r="X280" s="39" t="s">
        <v>8</v>
      </c>
      <c r="Y280" s="39"/>
      <c r="Z280" s="29"/>
      <c r="AA280" s="64"/>
      <c r="AB280" s="38"/>
      <c r="AC280" s="39"/>
      <c r="AD280" s="39"/>
      <c r="AE280" s="39"/>
      <c r="AF280" s="29"/>
      <c r="AG280" s="64"/>
      <c r="AH280" s="38"/>
      <c r="AI280" s="39"/>
      <c r="AJ280" s="39"/>
      <c r="AK280" s="39"/>
      <c r="AL280" s="29"/>
      <c r="AM280" s="64"/>
      <c r="AN280" s="38"/>
      <c r="AO280" s="39"/>
      <c r="AP280" s="39"/>
      <c r="AQ280" s="39"/>
      <c r="AR280" s="3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</row>
    <row r="281" spans="1:65" s="28" customFormat="1" ht="28.5" x14ac:dyDescent="0.25">
      <c r="A281" s="628"/>
      <c r="B281" s="628"/>
      <c r="C281" s="628"/>
      <c r="D281" s="628"/>
      <c r="E281" s="628"/>
      <c r="F281" s="628"/>
      <c r="G281" s="628"/>
      <c r="H281" s="628"/>
      <c r="I281" s="628"/>
      <c r="J281" s="38" t="s">
        <v>108</v>
      </c>
      <c r="K281" s="39"/>
      <c r="L281" s="39" t="s">
        <v>8</v>
      </c>
      <c r="M281" s="39"/>
      <c r="N281" s="29"/>
      <c r="O281" s="64"/>
      <c r="P281" s="38" t="s">
        <v>108</v>
      </c>
      <c r="Q281" s="39"/>
      <c r="R281" s="39" t="s">
        <v>8</v>
      </c>
      <c r="S281" s="39"/>
      <c r="T281" s="29"/>
      <c r="U281" s="64"/>
      <c r="V281" s="38" t="s">
        <v>108</v>
      </c>
      <c r="W281" s="39"/>
      <c r="X281" s="39" t="s">
        <v>8</v>
      </c>
      <c r="Y281" s="39"/>
      <c r="Z281" s="29"/>
      <c r="AA281" s="64"/>
      <c r="AB281" s="38"/>
      <c r="AC281" s="39"/>
      <c r="AD281" s="39"/>
      <c r="AE281" s="39"/>
      <c r="AF281" s="29"/>
      <c r="AG281" s="64"/>
      <c r="AH281" s="38"/>
      <c r="AI281" s="39"/>
      <c r="AJ281" s="39"/>
      <c r="AK281" s="39"/>
      <c r="AL281" s="29"/>
      <c r="AM281" s="64"/>
      <c r="AN281" s="38"/>
      <c r="AO281" s="39"/>
      <c r="AP281" s="39"/>
      <c r="AQ281" s="39"/>
      <c r="AR281" s="3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</row>
    <row r="282" spans="1:65" s="28" customFormat="1" ht="42.75" x14ac:dyDescent="0.25">
      <c r="A282" s="628"/>
      <c r="B282" s="628"/>
      <c r="C282" s="628"/>
      <c r="D282" s="628"/>
      <c r="E282" s="628"/>
      <c r="F282" s="628"/>
      <c r="G282" s="628"/>
      <c r="H282" s="628"/>
      <c r="I282" s="628"/>
      <c r="J282" s="38" t="s">
        <v>109</v>
      </c>
      <c r="K282" s="39"/>
      <c r="L282" s="39" t="s">
        <v>14</v>
      </c>
      <c r="M282" s="39"/>
      <c r="N282" s="29"/>
      <c r="O282" s="64"/>
      <c r="P282" s="38" t="s">
        <v>109</v>
      </c>
      <c r="Q282" s="39"/>
      <c r="R282" s="39" t="s">
        <v>14</v>
      </c>
      <c r="S282" s="39"/>
      <c r="T282" s="29"/>
      <c r="U282" s="64"/>
      <c r="V282" s="38" t="s">
        <v>109</v>
      </c>
      <c r="W282" s="39"/>
      <c r="X282" s="39" t="s">
        <v>14</v>
      </c>
      <c r="Y282" s="39"/>
      <c r="Z282" s="29"/>
      <c r="AA282" s="64"/>
      <c r="AB282" s="38"/>
      <c r="AC282" s="39"/>
      <c r="AD282" s="39"/>
      <c r="AE282" s="39"/>
      <c r="AF282" s="29"/>
      <c r="AG282" s="64"/>
      <c r="AH282" s="38"/>
      <c r="AI282" s="39"/>
      <c r="AJ282" s="39"/>
      <c r="AK282" s="39"/>
      <c r="AL282" s="29"/>
      <c r="AM282" s="64"/>
      <c r="AN282" s="38"/>
      <c r="AO282" s="39"/>
      <c r="AP282" s="39"/>
      <c r="AQ282" s="39"/>
      <c r="AR282" s="3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</row>
    <row r="283" spans="1:65" s="28" customFormat="1" ht="28.5" x14ac:dyDescent="0.25">
      <c r="A283" s="628"/>
      <c r="B283" s="628"/>
      <c r="C283" s="628"/>
      <c r="D283" s="628"/>
      <c r="E283" s="628"/>
      <c r="F283" s="628"/>
      <c r="G283" s="628"/>
      <c r="H283" s="628"/>
      <c r="I283" s="628"/>
      <c r="J283" s="38" t="s">
        <v>110</v>
      </c>
      <c r="K283" s="39"/>
      <c r="L283" s="39" t="s">
        <v>16</v>
      </c>
      <c r="M283" s="39"/>
      <c r="N283" s="29"/>
      <c r="O283" s="64"/>
      <c r="P283" s="38" t="s">
        <v>110</v>
      </c>
      <c r="Q283" s="39"/>
      <c r="R283" s="39" t="s">
        <v>16</v>
      </c>
      <c r="S283" s="39"/>
      <c r="T283" s="29"/>
      <c r="U283" s="64"/>
      <c r="V283" s="38" t="s">
        <v>110</v>
      </c>
      <c r="W283" s="39"/>
      <c r="X283" s="39" t="s">
        <v>16</v>
      </c>
      <c r="Y283" s="39"/>
      <c r="Z283" s="29"/>
      <c r="AA283" s="64"/>
      <c r="AB283" s="38"/>
      <c r="AC283" s="39"/>
      <c r="AD283" s="39"/>
      <c r="AE283" s="39"/>
      <c r="AF283" s="29"/>
      <c r="AG283" s="64"/>
      <c r="AH283" s="38"/>
      <c r="AI283" s="39"/>
      <c r="AJ283" s="39"/>
      <c r="AK283" s="39"/>
      <c r="AL283" s="29"/>
      <c r="AM283" s="64"/>
      <c r="AN283" s="38"/>
      <c r="AO283" s="39"/>
      <c r="AP283" s="39"/>
      <c r="AQ283" s="39"/>
      <c r="AR283" s="3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</row>
    <row r="284" spans="1:65" s="28" customFormat="1" ht="71.25" x14ac:dyDescent="0.25">
      <c r="A284" s="628"/>
      <c r="B284" s="628"/>
      <c r="C284" s="628"/>
      <c r="D284" s="628"/>
      <c r="E284" s="628"/>
      <c r="F284" s="628"/>
      <c r="G284" s="628"/>
      <c r="H284" s="628"/>
      <c r="I284" s="628"/>
      <c r="J284" s="38" t="s">
        <v>111</v>
      </c>
      <c r="K284" s="39"/>
      <c r="L284" s="39" t="s">
        <v>14</v>
      </c>
      <c r="M284" s="39"/>
      <c r="N284" s="29"/>
      <c r="O284" s="64"/>
      <c r="P284" s="38" t="s">
        <v>111</v>
      </c>
      <c r="Q284" s="39"/>
      <c r="R284" s="39" t="s">
        <v>14</v>
      </c>
      <c r="S284" s="39"/>
      <c r="T284" s="29"/>
      <c r="U284" s="64"/>
      <c r="V284" s="38" t="s">
        <v>111</v>
      </c>
      <c r="W284" s="39"/>
      <c r="X284" s="39" t="s">
        <v>14</v>
      </c>
      <c r="Y284" s="39"/>
      <c r="Z284" s="29"/>
      <c r="AA284" s="64"/>
      <c r="AB284" s="38"/>
      <c r="AC284" s="39"/>
      <c r="AD284" s="39"/>
      <c r="AE284" s="39"/>
      <c r="AF284" s="29"/>
      <c r="AG284" s="64"/>
      <c r="AH284" s="38"/>
      <c r="AI284" s="39"/>
      <c r="AJ284" s="39"/>
      <c r="AK284" s="39"/>
      <c r="AL284" s="29"/>
      <c r="AM284" s="64"/>
      <c r="AN284" s="38"/>
      <c r="AO284" s="39"/>
      <c r="AP284" s="39"/>
      <c r="AQ284" s="39"/>
      <c r="AR284" s="3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</row>
    <row r="285" spans="1:65" s="28" customFormat="1" x14ac:dyDescent="0.25">
      <c r="A285" s="628"/>
      <c r="B285" s="628"/>
      <c r="C285" s="628"/>
      <c r="D285" s="628"/>
      <c r="E285" s="628"/>
      <c r="F285" s="628"/>
      <c r="G285" s="628"/>
      <c r="H285" s="628"/>
      <c r="I285" s="628"/>
      <c r="J285" s="38" t="s">
        <v>45</v>
      </c>
      <c r="K285" s="39"/>
      <c r="L285" s="39"/>
      <c r="M285" s="39"/>
      <c r="N285" s="29"/>
      <c r="O285" s="64"/>
      <c r="P285" s="38" t="s">
        <v>45</v>
      </c>
      <c r="Q285" s="39"/>
      <c r="R285" s="39"/>
      <c r="S285" s="39"/>
      <c r="T285" s="29"/>
      <c r="U285" s="64"/>
      <c r="V285" s="38" t="s">
        <v>45</v>
      </c>
      <c r="W285" s="39"/>
      <c r="X285" s="39"/>
      <c r="Y285" s="39"/>
      <c r="Z285" s="29"/>
      <c r="AA285" s="64"/>
      <c r="AB285" s="38" t="s">
        <v>45</v>
      </c>
      <c r="AC285" s="39"/>
      <c r="AD285" s="39"/>
      <c r="AE285" s="39"/>
      <c r="AF285" s="29"/>
      <c r="AG285" s="64"/>
      <c r="AH285" s="38" t="s">
        <v>45</v>
      </c>
      <c r="AI285" s="39"/>
      <c r="AJ285" s="39"/>
      <c r="AK285" s="39"/>
      <c r="AL285" s="29"/>
      <c r="AM285" s="64"/>
      <c r="AN285" s="38" t="s">
        <v>45</v>
      </c>
      <c r="AO285" s="39"/>
      <c r="AP285" s="39"/>
      <c r="AQ285" s="39"/>
      <c r="AR285" s="3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</row>
  </sheetData>
  <mergeCells count="1367">
    <mergeCell ref="AR271:AR272"/>
    <mergeCell ref="AB271:AB272"/>
    <mergeCell ref="AE271:AE272"/>
    <mergeCell ref="AH271:AH272"/>
    <mergeCell ref="AK271:AK272"/>
    <mergeCell ref="AN271:AN272"/>
    <mergeCell ref="AQ271:AQ272"/>
    <mergeCell ref="J271:J272"/>
    <mergeCell ref="M271:M272"/>
    <mergeCell ref="P271:P272"/>
    <mergeCell ref="S271:S272"/>
    <mergeCell ref="V271:V272"/>
    <mergeCell ref="Y271:Y272"/>
    <mergeCell ref="J269:J270"/>
    <mergeCell ref="P269:P270"/>
    <mergeCell ref="V269:V270"/>
    <mergeCell ref="AB269:AB270"/>
    <mergeCell ref="AH269:AH270"/>
    <mergeCell ref="AN269:AN270"/>
    <mergeCell ref="J267:J268"/>
    <mergeCell ref="P267:P268"/>
    <mergeCell ref="V267:V268"/>
    <mergeCell ref="AB267:AB268"/>
    <mergeCell ref="AH267:AH268"/>
    <mergeCell ref="AN267:AN268"/>
    <mergeCell ref="J265:J266"/>
    <mergeCell ref="P265:P266"/>
    <mergeCell ref="V265:V266"/>
    <mergeCell ref="AB265:AB266"/>
    <mergeCell ref="AH265:AH266"/>
    <mergeCell ref="AN265:AN266"/>
    <mergeCell ref="AR243:AR244"/>
    <mergeCell ref="A258:AR258"/>
    <mergeCell ref="A262:C262"/>
    <mergeCell ref="A263:I285"/>
    <mergeCell ref="J263:J264"/>
    <mergeCell ref="P263:P264"/>
    <mergeCell ref="V263:V264"/>
    <mergeCell ref="AB263:AB264"/>
    <mergeCell ref="AH263:AH264"/>
    <mergeCell ref="AN263:AN264"/>
    <mergeCell ref="AB243:AB244"/>
    <mergeCell ref="AE243:AE244"/>
    <mergeCell ref="AH243:AH244"/>
    <mergeCell ref="AK243:AK244"/>
    <mergeCell ref="AN243:AN244"/>
    <mergeCell ref="AQ243:AQ244"/>
    <mergeCell ref="J243:J244"/>
    <mergeCell ref="M243:M244"/>
    <mergeCell ref="P243:P244"/>
    <mergeCell ref="S243:S244"/>
    <mergeCell ref="Y243:Y244"/>
    <mergeCell ref="AN239:AN240"/>
    <mergeCell ref="J241:J242"/>
    <mergeCell ref="P241:P242"/>
    <mergeCell ref="V241:V242"/>
    <mergeCell ref="AB241:AB242"/>
    <mergeCell ref="AH241:AH242"/>
    <mergeCell ref="AN241:AN242"/>
    <mergeCell ref="P237:P238"/>
    <mergeCell ref="V237:V238"/>
    <mergeCell ref="AB237:AB238"/>
    <mergeCell ref="AH237:AH238"/>
    <mergeCell ref="AN237:AN238"/>
    <mergeCell ref="J239:J240"/>
    <mergeCell ref="P239:P240"/>
    <mergeCell ref="V239:V240"/>
    <mergeCell ref="AB239:AB240"/>
    <mergeCell ref="AH239:AH240"/>
    <mergeCell ref="AH211:AH212"/>
    <mergeCell ref="AN211:AN212"/>
    <mergeCell ref="AN207:AN208"/>
    <mergeCell ref="J209:J210"/>
    <mergeCell ref="P209:P210"/>
    <mergeCell ref="V209:V210"/>
    <mergeCell ref="AB209:AB210"/>
    <mergeCell ref="AH209:AH210"/>
    <mergeCell ref="AN209:AN210"/>
    <mergeCell ref="AR215:AR216"/>
    <mergeCell ref="A234:C234"/>
    <mergeCell ref="A235:I257"/>
    <mergeCell ref="J235:J236"/>
    <mergeCell ref="P235:P236"/>
    <mergeCell ref="V235:V236"/>
    <mergeCell ref="AB235:AB236"/>
    <mergeCell ref="AH235:AH236"/>
    <mergeCell ref="AN235:AN236"/>
    <mergeCell ref="J237:J238"/>
    <mergeCell ref="AB215:AB216"/>
    <mergeCell ref="AE215:AE216"/>
    <mergeCell ref="AH215:AH216"/>
    <mergeCell ref="AK215:AK216"/>
    <mergeCell ref="AN215:AN216"/>
    <mergeCell ref="AQ215:AQ216"/>
    <mergeCell ref="J215:J216"/>
    <mergeCell ref="M215:M216"/>
    <mergeCell ref="P215:P216"/>
    <mergeCell ref="S215:S216"/>
    <mergeCell ref="V215:V216"/>
    <mergeCell ref="Y215:Y216"/>
    <mergeCell ref="V243:V244"/>
    <mergeCell ref="AR186:AR187"/>
    <mergeCell ref="A201:AR201"/>
    <mergeCell ref="A202:S202"/>
    <mergeCell ref="A206:C206"/>
    <mergeCell ref="A207:I229"/>
    <mergeCell ref="J207:J208"/>
    <mergeCell ref="P207:P208"/>
    <mergeCell ref="V207:V208"/>
    <mergeCell ref="AB207:AB208"/>
    <mergeCell ref="AH207:AH208"/>
    <mergeCell ref="AB186:AB187"/>
    <mergeCell ref="AE186:AE187"/>
    <mergeCell ref="AH186:AH187"/>
    <mergeCell ref="AK186:AK187"/>
    <mergeCell ref="AN186:AN187"/>
    <mergeCell ref="AQ186:AQ187"/>
    <mergeCell ref="J186:J187"/>
    <mergeCell ref="M186:M187"/>
    <mergeCell ref="P186:P187"/>
    <mergeCell ref="S186:S187"/>
    <mergeCell ref="V186:V187"/>
    <mergeCell ref="Y186:Y187"/>
    <mergeCell ref="J213:J214"/>
    <mergeCell ref="P213:P214"/>
    <mergeCell ref="V213:V214"/>
    <mergeCell ref="AB213:AB214"/>
    <mergeCell ref="AH213:AH214"/>
    <mergeCell ref="AN213:AN214"/>
    <mergeCell ref="J211:J212"/>
    <mergeCell ref="P211:P212"/>
    <mergeCell ref="V211:V212"/>
    <mergeCell ref="AB211:AB212"/>
    <mergeCell ref="J184:J185"/>
    <mergeCell ref="P184:P185"/>
    <mergeCell ref="V184:V185"/>
    <mergeCell ref="AB184:AB185"/>
    <mergeCell ref="AH184:AH185"/>
    <mergeCell ref="AN184:AN185"/>
    <mergeCell ref="J182:J183"/>
    <mergeCell ref="P182:P183"/>
    <mergeCell ref="V182:V183"/>
    <mergeCell ref="AB182:AB183"/>
    <mergeCell ref="AH182:AH183"/>
    <mergeCell ref="AN182:AN183"/>
    <mergeCell ref="J180:J181"/>
    <mergeCell ref="P180:P181"/>
    <mergeCell ref="V180:V181"/>
    <mergeCell ref="AB180:AB181"/>
    <mergeCell ref="AH180:AH181"/>
    <mergeCell ref="AN180:AN181"/>
    <mergeCell ref="AN174:AN175"/>
    <mergeCell ref="AQ174:AQ175"/>
    <mergeCell ref="A177:C177"/>
    <mergeCell ref="A178:I200"/>
    <mergeCell ref="J178:J179"/>
    <mergeCell ref="P178:P179"/>
    <mergeCell ref="V178:V179"/>
    <mergeCell ref="AB178:AB179"/>
    <mergeCell ref="AH178:AH179"/>
    <mergeCell ref="AN178:AN179"/>
    <mergeCell ref="N174:N175"/>
    <mergeCell ref="O174:O175"/>
    <mergeCell ref="P174:P175"/>
    <mergeCell ref="S174:S175"/>
    <mergeCell ref="AL174:AL175"/>
    <mergeCell ref="AM174:AM175"/>
    <mergeCell ref="AM172:AM173"/>
    <mergeCell ref="AN172:AN173"/>
    <mergeCell ref="AQ172:AQ173"/>
    <mergeCell ref="A174:A175"/>
    <mergeCell ref="B174:B175"/>
    <mergeCell ref="C174:C175"/>
    <mergeCell ref="D174:D175"/>
    <mergeCell ref="E174:E175"/>
    <mergeCell ref="F174:F175"/>
    <mergeCell ref="G174:G175"/>
    <mergeCell ref="G172:G173"/>
    <mergeCell ref="AF172:AF173"/>
    <mergeCell ref="AG172:AG173"/>
    <mergeCell ref="AH172:AH173"/>
    <mergeCell ref="AK172:AK173"/>
    <mergeCell ref="AL172:AL173"/>
    <mergeCell ref="AF170:AF171"/>
    <mergeCell ref="AG170:AG171"/>
    <mergeCell ref="AH170:AH171"/>
    <mergeCell ref="AK170:AK171"/>
    <mergeCell ref="A172:A173"/>
    <mergeCell ref="B172:B173"/>
    <mergeCell ref="C172:C173"/>
    <mergeCell ref="D172:D173"/>
    <mergeCell ref="E172:E173"/>
    <mergeCell ref="F172:F173"/>
    <mergeCell ref="AB168:AB169"/>
    <mergeCell ref="AE168:AE169"/>
    <mergeCell ref="A170:A171"/>
    <mergeCell ref="B170:B171"/>
    <mergeCell ref="C170:C171"/>
    <mergeCell ref="D170:D171"/>
    <mergeCell ref="E170:E171"/>
    <mergeCell ref="F170:F171"/>
    <mergeCell ref="G170:G171"/>
    <mergeCell ref="AE166:AE167"/>
    <mergeCell ref="A168:A169"/>
    <mergeCell ref="B168:B169"/>
    <mergeCell ref="C168:C169"/>
    <mergeCell ref="D168:D169"/>
    <mergeCell ref="E168:E169"/>
    <mergeCell ref="F168:F169"/>
    <mergeCell ref="G168:G169"/>
    <mergeCell ref="Z168:Z169"/>
    <mergeCell ref="AA168:AA169"/>
    <mergeCell ref="U166:U167"/>
    <mergeCell ref="V166:V167"/>
    <mergeCell ref="Y166:Y167"/>
    <mergeCell ref="Z166:Z167"/>
    <mergeCell ref="AA166:AA167"/>
    <mergeCell ref="AB166:AB167"/>
    <mergeCell ref="V164:V165"/>
    <mergeCell ref="Y164:Y165"/>
    <mergeCell ref="A166:A167"/>
    <mergeCell ref="B166:B167"/>
    <mergeCell ref="C166:C167"/>
    <mergeCell ref="D166:D167"/>
    <mergeCell ref="E166:E167"/>
    <mergeCell ref="F166:F167"/>
    <mergeCell ref="G166:G167"/>
    <mergeCell ref="T166:T167"/>
    <mergeCell ref="N164:N165"/>
    <mergeCell ref="O164:O165"/>
    <mergeCell ref="P164:P165"/>
    <mergeCell ref="S164:S165"/>
    <mergeCell ref="T164:T165"/>
    <mergeCell ref="U164:U165"/>
    <mergeCell ref="U162:U163"/>
    <mergeCell ref="V162:V163"/>
    <mergeCell ref="Y162:Y163"/>
    <mergeCell ref="A164:A165"/>
    <mergeCell ref="B164:B165"/>
    <mergeCell ref="C164:C165"/>
    <mergeCell ref="D164:D165"/>
    <mergeCell ref="E164:E165"/>
    <mergeCell ref="F164:F165"/>
    <mergeCell ref="G164:G165"/>
    <mergeCell ref="G162:G163"/>
    <mergeCell ref="H162:H163"/>
    <mergeCell ref="I162:I163"/>
    <mergeCell ref="J162:J163"/>
    <mergeCell ref="M162:M163"/>
    <mergeCell ref="T162:T163"/>
    <mergeCell ref="A162:A163"/>
    <mergeCell ref="B162:B163"/>
    <mergeCell ref="C162:C163"/>
    <mergeCell ref="D162:D163"/>
    <mergeCell ref="E162:E163"/>
    <mergeCell ref="F162:F163"/>
    <mergeCell ref="F160:F161"/>
    <mergeCell ref="G160:G161"/>
    <mergeCell ref="N160:N161"/>
    <mergeCell ref="O160:O161"/>
    <mergeCell ref="P160:P161"/>
    <mergeCell ref="S160:S161"/>
    <mergeCell ref="G158:G159"/>
    <mergeCell ref="N158:N159"/>
    <mergeCell ref="O158:O159"/>
    <mergeCell ref="P158:P159"/>
    <mergeCell ref="S158:S159"/>
    <mergeCell ref="A160:A161"/>
    <mergeCell ref="B160:B161"/>
    <mergeCell ref="C160:C161"/>
    <mergeCell ref="D160:D161"/>
    <mergeCell ref="E160:E161"/>
    <mergeCell ref="A158:A159"/>
    <mergeCell ref="B158:B159"/>
    <mergeCell ref="C158:C159"/>
    <mergeCell ref="D158:D159"/>
    <mergeCell ref="E158:E159"/>
    <mergeCell ref="F158:F159"/>
    <mergeCell ref="F156:F157"/>
    <mergeCell ref="G156:G157"/>
    <mergeCell ref="H156:H157"/>
    <mergeCell ref="I156:I157"/>
    <mergeCell ref="J156:J157"/>
    <mergeCell ref="M156:M157"/>
    <mergeCell ref="G154:G155"/>
    <mergeCell ref="H154:H155"/>
    <mergeCell ref="I154:I155"/>
    <mergeCell ref="J154:J155"/>
    <mergeCell ref="M154:M155"/>
    <mergeCell ref="A156:A157"/>
    <mergeCell ref="B156:B157"/>
    <mergeCell ref="C156:C157"/>
    <mergeCell ref="D156:D157"/>
    <mergeCell ref="E156:E157"/>
    <mergeCell ref="AM151:AM152"/>
    <mergeCell ref="AN151:AN152"/>
    <mergeCell ref="AQ151:AQ152"/>
    <mergeCell ref="A153:C153"/>
    <mergeCell ref="A154:A155"/>
    <mergeCell ref="B154:B155"/>
    <mergeCell ref="C154:C155"/>
    <mergeCell ref="D154:D155"/>
    <mergeCell ref="E154:E155"/>
    <mergeCell ref="F154:F155"/>
    <mergeCell ref="AN149:AN150"/>
    <mergeCell ref="AQ149:AQ150"/>
    <mergeCell ref="A151:A152"/>
    <mergeCell ref="B151:B152"/>
    <mergeCell ref="C151:C152"/>
    <mergeCell ref="D151:D152"/>
    <mergeCell ref="E151:E152"/>
    <mergeCell ref="F151:F152"/>
    <mergeCell ref="G151:G152"/>
    <mergeCell ref="AL151:AL152"/>
    <mergeCell ref="AF149:AF150"/>
    <mergeCell ref="AG149:AG150"/>
    <mergeCell ref="AH149:AH150"/>
    <mergeCell ref="AK149:AK150"/>
    <mergeCell ref="AL149:AL150"/>
    <mergeCell ref="AM149:AM150"/>
    <mergeCell ref="AM147:AM148"/>
    <mergeCell ref="AN147:AN148"/>
    <mergeCell ref="AQ147:AQ148"/>
    <mergeCell ref="A149:A150"/>
    <mergeCell ref="B149:B150"/>
    <mergeCell ref="C149:C150"/>
    <mergeCell ref="D149:D150"/>
    <mergeCell ref="E149:E150"/>
    <mergeCell ref="F149:F150"/>
    <mergeCell ref="G149:G150"/>
    <mergeCell ref="G147:G148"/>
    <mergeCell ref="AF147:AF148"/>
    <mergeCell ref="AG147:AG148"/>
    <mergeCell ref="AH147:AH148"/>
    <mergeCell ref="AK147:AK148"/>
    <mergeCell ref="AL147:AL148"/>
    <mergeCell ref="A147:A148"/>
    <mergeCell ref="B147:B148"/>
    <mergeCell ref="C147:C148"/>
    <mergeCell ref="D147:D148"/>
    <mergeCell ref="E147:E148"/>
    <mergeCell ref="F147:F148"/>
    <mergeCell ref="F145:F146"/>
    <mergeCell ref="G145:G146"/>
    <mergeCell ref="AF145:AF146"/>
    <mergeCell ref="AG145:AG146"/>
    <mergeCell ref="AH145:AH146"/>
    <mergeCell ref="AK145:AK146"/>
    <mergeCell ref="G143:G144"/>
    <mergeCell ref="AF143:AF144"/>
    <mergeCell ref="AG143:AG144"/>
    <mergeCell ref="AH143:AH144"/>
    <mergeCell ref="AK143:AK144"/>
    <mergeCell ref="A145:A146"/>
    <mergeCell ref="B145:B146"/>
    <mergeCell ref="C145:C146"/>
    <mergeCell ref="D145:D146"/>
    <mergeCell ref="E145:E146"/>
    <mergeCell ref="AF141:AF142"/>
    <mergeCell ref="AG141:AG142"/>
    <mergeCell ref="AH141:AH142"/>
    <mergeCell ref="AK141:AK142"/>
    <mergeCell ref="A143:A144"/>
    <mergeCell ref="B143:B144"/>
    <mergeCell ref="C143:C144"/>
    <mergeCell ref="D143:D144"/>
    <mergeCell ref="E143:E144"/>
    <mergeCell ref="F143:F144"/>
    <mergeCell ref="AA139:AA140"/>
    <mergeCell ref="AB139:AB140"/>
    <mergeCell ref="AE139:AE140"/>
    <mergeCell ref="A141:A142"/>
    <mergeCell ref="B141:B142"/>
    <mergeCell ref="C141:C142"/>
    <mergeCell ref="D141:D142"/>
    <mergeCell ref="E141:E142"/>
    <mergeCell ref="F141:F142"/>
    <mergeCell ref="G141:G142"/>
    <mergeCell ref="AB137:AB138"/>
    <mergeCell ref="AE137:AE138"/>
    <mergeCell ref="A139:A140"/>
    <mergeCell ref="B139:B140"/>
    <mergeCell ref="C139:C140"/>
    <mergeCell ref="D139:D140"/>
    <mergeCell ref="E139:E140"/>
    <mergeCell ref="F139:F140"/>
    <mergeCell ref="G139:G140"/>
    <mergeCell ref="Z139:Z140"/>
    <mergeCell ref="T137:T138"/>
    <mergeCell ref="U137:U138"/>
    <mergeCell ref="V137:V138"/>
    <mergeCell ref="Y137:Y138"/>
    <mergeCell ref="Z137:Z138"/>
    <mergeCell ref="AA137:AA138"/>
    <mergeCell ref="A137:A138"/>
    <mergeCell ref="B137:B138"/>
    <mergeCell ref="C137:C138"/>
    <mergeCell ref="D137:D138"/>
    <mergeCell ref="E137:E138"/>
    <mergeCell ref="F137:F138"/>
    <mergeCell ref="G137:G138"/>
    <mergeCell ref="V133:V134"/>
    <mergeCell ref="Y133:Y134"/>
    <mergeCell ref="A135:A136"/>
    <mergeCell ref="B135:B136"/>
    <mergeCell ref="C135:C136"/>
    <mergeCell ref="D135:D136"/>
    <mergeCell ref="E135:E136"/>
    <mergeCell ref="F135:F136"/>
    <mergeCell ref="G135:G136"/>
    <mergeCell ref="T135:T136"/>
    <mergeCell ref="A133:A134"/>
    <mergeCell ref="B133:B134"/>
    <mergeCell ref="C133:C134"/>
    <mergeCell ref="D133:D134"/>
    <mergeCell ref="E133:E134"/>
    <mergeCell ref="F133:F134"/>
    <mergeCell ref="G133:G134"/>
    <mergeCell ref="T133:T134"/>
    <mergeCell ref="U133:U134"/>
    <mergeCell ref="AN129:AN130"/>
    <mergeCell ref="U135:U136"/>
    <mergeCell ref="V135:V136"/>
    <mergeCell ref="Y135:Y136"/>
    <mergeCell ref="AQ129:AQ130"/>
    <mergeCell ref="A131:A132"/>
    <mergeCell ref="B131:B132"/>
    <mergeCell ref="C131:C132"/>
    <mergeCell ref="D131:D132"/>
    <mergeCell ref="E131:E132"/>
    <mergeCell ref="F131:F132"/>
    <mergeCell ref="G131:G132"/>
    <mergeCell ref="N131:N132"/>
    <mergeCell ref="T129:T130"/>
    <mergeCell ref="U129:U130"/>
    <mergeCell ref="V129:V130"/>
    <mergeCell ref="Y129:Y130"/>
    <mergeCell ref="AL129:AL130"/>
    <mergeCell ref="AM129:AM130"/>
    <mergeCell ref="P127:P128"/>
    <mergeCell ref="S127:S128"/>
    <mergeCell ref="A129:A130"/>
    <mergeCell ref="B129:B130"/>
    <mergeCell ref="C129:C130"/>
    <mergeCell ref="D129:D130"/>
    <mergeCell ref="E129:E130"/>
    <mergeCell ref="F129:F130"/>
    <mergeCell ref="G129:G130"/>
    <mergeCell ref="Y131:Y132"/>
    <mergeCell ref="S125:S126"/>
    <mergeCell ref="A127:A128"/>
    <mergeCell ref="B127:B128"/>
    <mergeCell ref="C127:C128"/>
    <mergeCell ref="D127:D128"/>
    <mergeCell ref="E127:E128"/>
    <mergeCell ref="F127:F128"/>
    <mergeCell ref="G127:G128"/>
    <mergeCell ref="N127:N128"/>
    <mergeCell ref="O127:O128"/>
    <mergeCell ref="I125:I126"/>
    <mergeCell ref="J125:J126"/>
    <mergeCell ref="M125:M126"/>
    <mergeCell ref="N125:N126"/>
    <mergeCell ref="O125:O126"/>
    <mergeCell ref="P125:P126"/>
    <mergeCell ref="O131:O132"/>
    <mergeCell ref="P131:P132"/>
    <mergeCell ref="S131:S132"/>
    <mergeCell ref="T131:T132"/>
    <mergeCell ref="U131:U132"/>
    <mergeCell ref="V131:V132"/>
    <mergeCell ref="P123:P124"/>
    <mergeCell ref="S123:S124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H123:H124"/>
    <mergeCell ref="I123:I124"/>
    <mergeCell ref="J123:J124"/>
    <mergeCell ref="M123:M124"/>
    <mergeCell ref="N123:N124"/>
    <mergeCell ref="O123:O124"/>
    <mergeCell ref="O121:O122"/>
    <mergeCell ref="P121:P122"/>
    <mergeCell ref="S121:S122"/>
    <mergeCell ref="A123:A124"/>
    <mergeCell ref="B123:B124"/>
    <mergeCell ref="C123:C124"/>
    <mergeCell ref="D123:D124"/>
    <mergeCell ref="E123:E124"/>
    <mergeCell ref="F123:F124"/>
    <mergeCell ref="G123:G124"/>
    <mergeCell ref="G121:G122"/>
    <mergeCell ref="H121:H122"/>
    <mergeCell ref="I121:I122"/>
    <mergeCell ref="J121:J122"/>
    <mergeCell ref="M121:M122"/>
    <mergeCell ref="N121:N122"/>
    <mergeCell ref="A121:A122"/>
    <mergeCell ref="B121:B122"/>
    <mergeCell ref="C121:C122"/>
    <mergeCell ref="D121:D122"/>
    <mergeCell ref="E121:E122"/>
    <mergeCell ref="F121:F122"/>
    <mergeCell ref="F119:F120"/>
    <mergeCell ref="G119:G120"/>
    <mergeCell ref="H119:H120"/>
    <mergeCell ref="I119:I120"/>
    <mergeCell ref="J119:J120"/>
    <mergeCell ref="M119:M120"/>
    <mergeCell ref="G117:G118"/>
    <mergeCell ref="H117:H118"/>
    <mergeCell ref="I117:I118"/>
    <mergeCell ref="J117:J118"/>
    <mergeCell ref="M117:M118"/>
    <mergeCell ref="A119:A120"/>
    <mergeCell ref="B119:B120"/>
    <mergeCell ref="C119:C120"/>
    <mergeCell ref="D119:D120"/>
    <mergeCell ref="E119:E120"/>
    <mergeCell ref="A117:A118"/>
    <mergeCell ref="B117:B118"/>
    <mergeCell ref="C117:C118"/>
    <mergeCell ref="D117:D118"/>
    <mergeCell ref="E117:E118"/>
    <mergeCell ref="F117:F118"/>
    <mergeCell ref="F115:F116"/>
    <mergeCell ref="G115:G116"/>
    <mergeCell ref="H115:H116"/>
    <mergeCell ref="I115:I116"/>
    <mergeCell ref="J115:J116"/>
    <mergeCell ref="M115:M116"/>
    <mergeCell ref="G113:G114"/>
    <mergeCell ref="H113:H114"/>
    <mergeCell ref="I113:I114"/>
    <mergeCell ref="J113:J114"/>
    <mergeCell ref="M113:M114"/>
    <mergeCell ref="A115:A116"/>
    <mergeCell ref="B115:B116"/>
    <mergeCell ref="C115:C116"/>
    <mergeCell ref="D115:D116"/>
    <mergeCell ref="E115:E116"/>
    <mergeCell ref="AM110:AM111"/>
    <mergeCell ref="AN110:AN111"/>
    <mergeCell ref="AQ110:AQ111"/>
    <mergeCell ref="A112:C112"/>
    <mergeCell ref="A113:A114"/>
    <mergeCell ref="B113:B114"/>
    <mergeCell ref="C113:C114"/>
    <mergeCell ref="D113:D114"/>
    <mergeCell ref="E113:E114"/>
    <mergeCell ref="F113:F114"/>
    <mergeCell ref="F110:F111"/>
    <mergeCell ref="G110:G111"/>
    <mergeCell ref="H110:H111"/>
    <mergeCell ref="I110:I111"/>
    <mergeCell ref="J110:J111"/>
    <mergeCell ref="AL110:AL111"/>
    <mergeCell ref="J108:J109"/>
    <mergeCell ref="AL108:AL109"/>
    <mergeCell ref="AM108:AM109"/>
    <mergeCell ref="AN108:AN109"/>
    <mergeCell ref="AQ108:AQ109"/>
    <mergeCell ref="A110:A111"/>
    <mergeCell ref="B110:B111"/>
    <mergeCell ref="C110:C111"/>
    <mergeCell ref="D110:D111"/>
    <mergeCell ref="E110:E111"/>
    <mergeCell ref="AQ106:AQ107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AA106:AA107"/>
    <mergeCell ref="AB106:AB107"/>
    <mergeCell ref="AE106:AE107"/>
    <mergeCell ref="AL106:AL107"/>
    <mergeCell ref="AM106:AM107"/>
    <mergeCell ref="AN106:AN107"/>
    <mergeCell ref="F106:F107"/>
    <mergeCell ref="G106:G107"/>
    <mergeCell ref="H106:H107"/>
    <mergeCell ref="I106:I107"/>
    <mergeCell ref="J106:J107"/>
    <mergeCell ref="Z106:Z107"/>
    <mergeCell ref="Y104:Y105"/>
    <mergeCell ref="AL104:AL105"/>
    <mergeCell ref="AM104:AM105"/>
    <mergeCell ref="AN104:AN105"/>
    <mergeCell ref="AQ104:AQ105"/>
    <mergeCell ref="A106:A107"/>
    <mergeCell ref="B106:B107"/>
    <mergeCell ref="C106:C107"/>
    <mergeCell ref="D106:D107"/>
    <mergeCell ref="E106:E107"/>
    <mergeCell ref="I104:I105"/>
    <mergeCell ref="J104:J105"/>
    <mergeCell ref="M104:M105"/>
    <mergeCell ref="T104:T105"/>
    <mergeCell ref="U104:U105"/>
    <mergeCell ref="V104:V105"/>
    <mergeCell ref="AN102:AN103"/>
    <mergeCell ref="AQ102:AQ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G102:G103"/>
    <mergeCell ref="H102:H103"/>
    <mergeCell ref="I102:I103"/>
    <mergeCell ref="J102:J103"/>
    <mergeCell ref="AL102:AL103"/>
    <mergeCell ref="AM102:AM103"/>
    <mergeCell ref="A102:A103"/>
    <mergeCell ref="B102:B103"/>
    <mergeCell ref="C102:C103"/>
    <mergeCell ref="D102:D103"/>
    <mergeCell ref="E102:E103"/>
    <mergeCell ref="F102:F103"/>
    <mergeCell ref="J100:J101"/>
    <mergeCell ref="M100:M101"/>
    <mergeCell ref="AL100:AL101"/>
    <mergeCell ref="AM100:AM101"/>
    <mergeCell ref="AN100:AN101"/>
    <mergeCell ref="AQ100:AQ101"/>
    <mergeCell ref="AQ98:AQ99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AG98:AG99"/>
    <mergeCell ref="AH98:AH99"/>
    <mergeCell ref="AK98:AK99"/>
    <mergeCell ref="AL98:AL99"/>
    <mergeCell ref="AM98:AM99"/>
    <mergeCell ref="AN98:AN99"/>
    <mergeCell ref="F98:F99"/>
    <mergeCell ref="G98:G99"/>
    <mergeCell ref="H98:H99"/>
    <mergeCell ref="I98:I99"/>
    <mergeCell ref="J98:J99"/>
    <mergeCell ref="AF98:AF99"/>
    <mergeCell ref="AK96:AK97"/>
    <mergeCell ref="AL96:AL97"/>
    <mergeCell ref="AM96:AM97"/>
    <mergeCell ref="AN96:AN97"/>
    <mergeCell ref="AQ96:AQ97"/>
    <mergeCell ref="A98:A99"/>
    <mergeCell ref="B98:B99"/>
    <mergeCell ref="C98:C99"/>
    <mergeCell ref="D98:D99"/>
    <mergeCell ref="E98:E99"/>
    <mergeCell ref="H96:H97"/>
    <mergeCell ref="I96:I97"/>
    <mergeCell ref="J96:J97"/>
    <mergeCell ref="AF96:AF97"/>
    <mergeCell ref="AG96:AG97"/>
    <mergeCell ref="AH96:AH97"/>
    <mergeCell ref="A96:A97"/>
    <mergeCell ref="B96:B97"/>
    <mergeCell ref="C96:C97"/>
    <mergeCell ref="D96:D97"/>
    <mergeCell ref="E96:E97"/>
    <mergeCell ref="F96:F97"/>
    <mergeCell ref="G96:G97"/>
    <mergeCell ref="AM92:AM93"/>
    <mergeCell ref="AN92:AN93"/>
    <mergeCell ref="AQ92:AQ93"/>
    <mergeCell ref="A94:A95"/>
    <mergeCell ref="B94:B95"/>
    <mergeCell ref="C94:C95"/>
    <mergeCell ref="D94:D95"/>
    <mergeCell ref="E94:E95"/>
    <mergeCell ref="F94:F95"/>
    <mergeCell ref="G94:G95"/>
    <mergeCell ref="S92:S93"/>
    <mergeCell ref="AF92:AF93"/>
    <mergeCell ref="AG92:AG93"/>
    <mergeCell ref="AH92:AH93"/>
    <mergeCell ref="AK92:AK93"/>
    <mergeCell ref="AL92:AL93"/>
    <mergeCell ref="H92:H93"/>
    <mergeCell ref="I92:I93"/>
    <mergeCell ref="J92:J93"/>
    <mergeCell ref="N92:N93"/>
    <mergeCell ref="O92:O93"/>
    <mergeCell ref="P92:P93"/>
    <mergeCell ref="AM94:AM95"/>
    <mergeCell ref="AN94:AN95"/>
    <mergeCell ref="AQ94:AQ95"/>
    <mergeCell ref="A92:A93"/>
    <mergeCell ref="B92:B93"/>
    <mergeCell ref="C92:C93"/>
    <mergeCell ref="D92:D93"/>
    <mergeCell ref="E92:E93"/>
    <mergeCell ref="F92:F93"/>
    <mergeCell ref="AL94:AL95"/>
    <mergeCell ref="G92:G93"/>
    <mergeCell ref="F90:F91"/>
    <mergeCell ref="G90:G91"/>
    <mergeCell ref="H90:H91"/>
    <mergeCell ref="I90:I91"/>
    <mergeCell ref="J90:J91"/>
    <mergeCell ref="AF90:AF91"/>
    <mergeCell ref="S94:S95"/>
    <mergeCell ref="AF94:AF95"/>
    <mergeCell ref="AG94:AG95"/>
    <mergeCell ref="AH94:AH95"/>
    <mergeCell ref="J88:J89"/>
    <mergeCell ref="AF88:AF89"/>
    <mergeCell ref="AG88:AG89"/>
    <mergeCell ref="AH88:AH89"/>
    <mergeCell ref="AK88:AK89"/>
    <mergeCell ref="A90:A91"/>
    <mergeCell ref="B90:B91"/>
    <mergeCell ref="C90:C91"/>
    <mergeCell ref="D90:D91"/>
    <mergeCell ref="E90:E91"/>
    <mergeCell ref="P94:P95"/>
    <mergeCell ref="AK94:AK95"/>
    <mergeCell ref="H94:H95"/>
    <mergeCell ref="I94:I95"/>
    <mergeCell ref="J94:J95"/>
    <mergeCell ref="N94:N95"/>
    <mergeCell ref="O94:O95"/>
    <mergeCell ref="AK86:AK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H86:H87"/>
    <mergeCell ref="I86:I87"/>
    <mergeCell ref="J86:J87"/>
    <mergeCell ref="AF86:AF87"/>
    <mergeCell ref="AG86:AG87"/>
    <mergeCell ref="AH86:AH87"/>
    <mergeCell ref="AG90:AG91"/>
    <mergeCell ref="AH90:AH91"/>
    <mergeCell ref="AK90:AK91"/>
    <mergeCell ref="AG84:AG85"/>
    <mergeCell ref="AH84:AH85"/>
    <mergeCell ref="AK84:AK85"/>
    <mergeCell ref="A86:A87"/>
    <mergeCell ref="B86:B87"/>
    <mergeCell ref="C86:C87"/>
    <mergeCell ref="D86:D87"/>
    <mergeCell ref="E86:E87"/>
    <mergeCell ref="F86:F87"/>
    <mergeCell ref="G86:G87"/>
    <mergeCell ref="J84:J85"/>
    <mergeCell ref="Z84:Z85"/>
    <mergeCell ref="AA84:AA85"/>
    <mergeCell ref="AB84:AB85"/>
    <mergeCell ref="AE84:AE85"/>
    <mergeCell ref="AF84:AF85"/>
    <mergeCell ref="AK82:AK83"/>
    <mergeCell ref="A84:A85"/>
    <mergeCell ref="B84:B85"/>
    <mergeCell ref="C84:C85"/>
    <mergeCell ref="D84:D85"/>
    <mergeCell ref="E84:E85"/>
    <mergeCell ref="F84:F85"/>
    <mergeCell ref="G84:G85"/>
    <mergeCell ref="H84:H85"/>
    <mergeCell ref="I84:I85"/>
    <mergeCell ref="U82:U83"/>
    <mergeCell ref="V82:V83"/>
    <mergeCell ref="Y82:Y83"/>
    <mergeCell ref="AF82:AF83"/>
    <mergeCell ref="AG82:AG83"/>
    <mergeCell ref="AH82:AH83"/>
    <mergeCell ref="G82:G83"/>
    <mergeCell ref="H82:H83"/>
    <mergeCell ref="I82:I83"/>
    <mergeCell ref="J82:J83"/>
    <mergeCell ref="M82:M83"/>
    <mergeCell ref="T82:T83"/>
    <mergeCell ref="A82:A83"/>
    <mergeCell ref="B82:B83"/>
    <mergeCell ref="C82:C83"/>
    <mergeCell ref="D82:D83"/>
    <mergeCell ref="E82:E83"/>
    <mergeCell ref="F82:F83"/>
    <mergeCell ref="V80:V81"/>
    <mergeCell ref="Y80:Y81"/>
    <mergeCell ref="Z80:Z81"/>
    <mergeCell ref="AA80:AA81"/>
    <mergeCell ref="AB80:AB81"/>
    <mergeCell ref="AE80:AE81"/>
    <mergeCell ref="G80:G81"/>
    <mergeCell ref="H80:H81"/>
    <mergeCell ref="I80:I81"/>
    <mergeCell ref="J80:J81"/>
    <mergeCell ref="T80:T81"/>
    <mergeCell ref="U80:U81"/>
    <mergeCell ref="A80:A81"/>
    <mergeCell ref="B80:B81"/>
    <mergeCell ref="C80:C81"/>
    <mergeCell ref="D80:D81"/>
    <mergeCell ref="E80:E81"/>
    <mergeCell ref="F80:F81"/>
    <mergeCell ref="I78:I79"/>
    <mergeCell ref="J78:J79"/>
    <mergeCell ref="Z78:Z79"/>
    <mergeCell ref="AA78:AA79"/>
    <mergeCell ref="AB78:AB79"/>
    <mergeCell ref="AE78:AE79"/>
    <mergeCell ref="AB76:AB77"/>
    <mergeCell ref="AE76:AE77"/>
    <mergeCell ref="A78:A79"/>
    <mergeCell ref="B78:B79"/>
    <mergeCell ref="C78:C79"/>
    <mergeCell ref="D78:D79"/>
    <mergeCell ref="E78:E79"/>
    <mergeCell ref="F78:F79"/>
    <mergeCell ref="G78:G79"/>
    <mergeCell ref="H78:H79"/>
    <mergeCell ref="G76:G77"/>
    <mergeCell ref="H76:H77"/>
    <mergeCell ref="I76:I77"/>
    <mergeCell ref="J76:J77"/>
    <mergeCell ref="Z76:Z77"/>
    <mergeCell ref="AA76:AA77"/>
    <mergeCell ref="A76:A77"/>
    <mergeCell ref="B76:B77"/>
    <mergeCell ref="C76:C77"/>
    <mergeCell ref="D76:D77"/>
    <mergeCell ref="E76:E77"/>
    <mergeCell ref="F76:F77"/>
    <mergeCell ref="I74:I75"/>
    <mergeCell ref="J74:J75"/>
    <mergeCell ref="Z74:Z75"/>
    <mergeCell ref="AA74:AA75"/>
    <mergeCell ref="AB74:AB75"/>
    <mergeCell ref="AE74:AE75"/>
    <mergeCell ref="AB72:AB73"/>
    <mergeCell ref="AE72:AE73"/>
    <mergeCell ref="A74:A75"/>
    <mergeCell ref="B74:B75"/>
    <mergeCell ref="C74:C75"/>
    <mergeCell ref="D74:D75"/>
    <mergeCell ref="E74:E75"/>
    <mergeCell ref="F74:F75"/>
    <mergeCell ref="G74:G75"/>
    <mergeCell ref="H74:H75"/>
    <mergeCell ref="G72:G73"/>
    <mergeCell ref="H72:H73"/>
    <mergeCell ref="I72:I73"/>
    <mergeCell ref="J72:J73"/>
    <mergeCell ref="Z72:Z73"/>
    <mergeCell ref="AA72:AA73"/>
    <mergeCell ref="A72:A73"/>
    <mergeCell ref="B72:B73"/>
    <mergeCell ref="C72:C73"/>
    <mergeCell ref="D72:D73"/>
    <mergeCell ref="E72:E73"/>
    <mergeCell ref="F72:F73"/>
    <mergeCell ref="I70:I71"/>
    <mergeCell ref="J70:J71"/>
    <mergeCell ref="Z70:Z71"/>
    <mergeCell ref="AA70:AA71"/>
    <mergeCell ref="AB70:AB71"/>
    <mergeCell ref="AE70:AE71"/>
    <mergeCell ref="AB68:AB69"/>
    <mergeCell ref="AE68:AE69"/>
    <mergeCell ref="A70:A71"/>
    <mergeCell ref="B70:B71"/>
    <mergeCell ref="C70:C71"/>
    <mergeCell ref="D70:D71"/>
    <mergeCell ref="E70:E71"/>
    <mergeCell ref="F70:F71"/>
    <mergeCell ref="G70:G71"/>
    <mergeCell ref="H70:H71"/>
    <mergeCell ref="G68:G69"/>
    <mergeCell ref="H68:H69"/>
    <mergeCell ref="I68:I69"/>
    <mergeCell ref="J68:J69"/>
    <mergeCell ref="Z68:Z69"/>
    <mergeCell ref="AA68:AA69"/>
    <mergeCell ref="A68:A69"/>
    <mergeCell ref="B68:B69"/>
    <mergeCell ref="C68:C69"/>
    <mergeCell ref="D68:D69"/>
    <mergeCell ref="E68:E69"/>
    <mergeCell ref="F68:F69"/>
    <mergeCell ref="AB66:AB67"/>
    <mergeCell ref="AE66:AE67"/>
    <mergeCell ref="AF66:AF67"/>
    <mergeCell ref="AG66:AG67"/>
    <mergeCell ref="AH66:AH67"/>
    <mergeCell ref="AK66:AK67"/>
    <mergeCell ref="G66:G67"/>
    <mergeCell ref="H66:H67"/>
    <mergeCell ref="I66:I67"/>
    <mergeCell ref="J66:J67"/>
    <mergeCell ref="Z66:Z67"/>
    <mergeCell ref="AA66:AA67"/>
    <mergeCell ref="A66:A67"/>
    <mergeCell ref="B66:B67"/>
    <mergeCell ref="C66:C67"/>
    <mergeCell ref="D66:D67"/>
    <mergeCell ref="E66:E67"/>
    <mergeCell ref="F66:F67"/>
    <mergeCell ref="AB64:AB65"/>
    <mergeCell ref="AE64:AE65"/>
    <mergeCell ref="AF64:AF65"/>
    <mergeCell ref="AG64:AG65"/>
    <mergeCell ref="AH64:AH65"/>
    <mergeCell ref="AK64:AK65"/>
    <mergeCell ref="G64:G65"/>
    <mergeCell ref="H64:H65"/>
    <mergeCell ref="I64:I65"/>
    <mergeCell ref="J64:J65"/>
    <mergeCell ref="Z64:Z65"/>
    <mergeCell ref="AA64:AA65"/>
    <mergeCell ref="AL62:AL63"/>
    <mergeCell ref="AM62:AM63"/>
    <mergeCell ref="AN62:AN63"/>
    <mergeCell ref="AQ62:AQ63"/>
    <mergeCell ref="A64:A65"/>
    <mergeCell ref="B64:B65"/>
    <mergeCell ref="C64:C65"/>
    <mergeCell ref="D64:D65"/>
    <mergeCell ref="E64:E65"/>
    <mergeCell ref="F64:F65"/>
    <mergeCell ref="J62:J63"/>
    <mergeCell ref="M62:M63"/>
    <mergeCell ref="T62:T63"/>
    <mergeCell ref="U62:U63"/>
    <mergeCell ref="V62:V63"/>
    <mergeCell ref="Y62:Y63"/>
    <mergeCell ref="AQ60:AQ61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U60:U61"/>
    <mergeCell ref="V60:V61"/>
    <mergeCell ref="Y60:Y61"/>
    <mergeCell ref="AL60:AL61"/>
    <mergeCell ref="AM60:AM61"/>
    <mergeCell ref="AN60:AN61"/>
    <mergeCell ref="G60:G61"/>
    <mergeCell ref="H60:H61"/>
    <mergeCell ref="I60:I61"/>
    <mergeCell ref="J60:J61"/>
    <mergeCell ref="M60:M61"/>
    <mergeCell ref="T60:T61"/>
    <mergeCell ref="A60:A61"/>
    <mergeCell ref="B60:B61"/>
    <mergeCell ref="C60:C61"/>
    <mergeCell ref="D60:D61"/>
    <mergeCell ref="E60:E61"/>
    <mergeCell ref="F60:F61"/>
    <mergeCell ref="I58:I59"/>
    <mergeCell ref="J58:J59"/>
    <mergeCell ref="T58:T59"/>
    <mergeCell ref="U58:U59"/>
    <mergeCell ref="V58:V59"/>
    <mergeCell ref="Y58:Y59"/>
    <mergeCell ref="V56:V57"/>
    <mergeCell ref="Y56:Y57"/>
    <mergeCell ref="A58:A59"/>
    <mergeCell ref="B58:B59"/>
    <mergeCell ref="C58:C59"/>
    <mergeCell ref="D58:D59"/>
    <mergeCell ref="E58:E59"/>
    <mergeCell ref="F58:F59"/>
    <mergeCell ref="G58:G59"/>
    <mergeCell ref="H58:H59"/>
    <mergeCell ref="G56:G57"/>
    <mergeCell ref="H56:H57"/>
    <mergeCell ref="I56:I57"/>
    <mergeCell ref="J56:J57"/>
    <mergeCell ref="T56:T57"/>
    <mergeCell ref="U56:U57"/>
    <mergeCell ref="A56:A57"/>
    <mergeCell ref="B56:B57"/>
    <mergeCell ref="C56:C57"/>
    <mergeCell ref="D56:D57"/>
    <mergeCell ref="E56:E57"/>
    <mergeCell ref="F56:F57"/>
    <mergeCell ref="I54:I55"/>
    <mergeCell ref="J54:J55"/>
    <mergeCell ref="T54:T55"/>
    <mergeCell ref="U54:U55"/>
    <mergeCell ref="V54:V55"/>
    <mergeCell ref="Y54:Y55"/>
    <mergeCell ref="V52:V53"/>
    <mergeCell ref="Y52:Y53"/>
    <mergeCell ref="A54:A55"/>
    <mergeCell ref="B54:B55"/>
    <mergeCell ref="C54:C55"/>
    <mergeCell ref="D54:D55"/>
    <mergeCell ref="E54:E55"/>
    <mergeCell ref="F54:F55"/>
    <mergeCell ref="G54:G55"/>
    <mergeCell ref="H54:H55"/>
    <mergeCell ref="G52:G53"/>
    <mergeCell ref="H52:H53"/>
    <mergeCell ref="I52:I53"/>
    <mergeCell ref="J52:J53"/>
    <mergeCell ref="T52:T53"/>
    <mergeCell ref="U52:U53"/>
    <mergeCell ref="A52:A53"/>
    <mergeCell ref="B52:B53"/>
    <mergeCell ref="C52:C53"/>
    <mergeCell ref="D52:D53"/>
    <mergeCell ref="E52:E53"/>
    <mergeCell ref="F52:F53"/>
    <mergeCell ref="I50:I51"/>
    <mergeCell ref="J50:J51"/>
    <mergeCell ref="T50:T51"/>
    <mergeCell ref="U50:U51"/>
    <mergeCell ref="V50:V51"/>
    <mergeCell ref="Y50:Y51"/>
    <mergeCell ref="V48:V49"/>
    <mergeCell ref="Y48:Y49"/>
    <mergeCell ref="A50:A51"/>
    <mergeCell ref="B50:B51"/>
    <mergeCell ref="C50:C51"/>
    <mergeCell ref="D50:D51"/>
    <mergeCell ref="E50:E51"/>
    <mergeCell ref="F50:F51"/>
    <mergeCell ref="G50:G51"/>
    <mergeCell ref="H50:H51"/>
    <mergeCell ref="N48:N49"/>
    <mergeCell ref="O48:O49"/>
    <mergeCell ref="P48:P49"/>
    <mergeCell ref="S48:S49"/>
    <mergeCell ref="T48:T49"/>
    <mergeCell ref="U48:U49"/>
    <mergeCell ref="F48:F49"/>
    <mergeCell ref="G48:G49"/>
    <mergeCell ref="H48:H49"/>
    <mergeCell ref="I48:I49"/>
    <mergeCell ref="J48:J49"/>
    <mergeCell ref="M48:M49"/>
    <mergeCell ref="P46:P47"/>
    <mergeCell ref="T46:T47"/>
    <mergeCell ref="U46:U47"/>
    <mergeCell ref="V46:V47"/>
    <mergeCell ref="Y46:Y47"/>
    <mergeCell ref="A48:A49"/>
    <mergeCell ref="B48:B49"/>
    <mergeCell ref="C48:C49"/>
    <mergeCell ref="D48:D49"/>
    <mergeCell ref="E48:E49"/>
    <mergeCell ref="F46:F47"/>
    <mergeCell ref="G46:G47"/>
    <mergeCell ref="H46:H47"/>
    <mergeCell ref="I46:I47"/>
    <mergeCell ref="J46:J47"/>
    <mergeCell ref="M46:M47"/>
    <mergeCell ref="P44:P45"/>
    <mergeCell ref="T44:T45"/>
    <mergeCell ref="U44:U45"/>
    <mergeCell ref="V44:V45"/>
    <mergeCell ref="Y44:Y45"/>
    <mergeCell ref="A46:A47"/>
    <mergeCell ref="B46:B47"/>
    <mergeCell ref="C46:C47"/>
    <mergeCell ref="D46:D47"/>
    <mergeCell ref="E46:E47"/>
    <mergeCell ref="F44:F45"/>
    <mergeCell ref="G44:G45"/>
    <mergeCell ref="H44:H45"/>
    <mergeCell ref="I44:I45"/>
    <mergeCell ref="J44:J45"/>
    <mergeCell ref="M44:M45"/>
    <mergeCell ref="S42:S43"/>
    <mergeCell ref="T42:T43"/>
    <mergeCell ref="U42:U43"/>
    <mergeCell ref="V42:V43"/>
    <mergeCell ref="Y42:Y43"/>
    <mergeCell ref="A44:A45"/>
    <mergeCell ref="B44:B45"/>
    <mergeCell ref="C44:C45"/>
    <mergeCell ref="D44:D45"/>
    <mergeCell ref="E44:E45"/>
    <mergeCell ref="I42:I43"/>
    <mergeCell ref="J42:J43"/>
    <mergeCell ref="M42:M43"/>
    <mergeCell ref="N42:N43"/>
    <mergeCell ref="O42:O43"/>
    <mergeCell ref="P42:P43"/>
    <mergeCell ref="P40:P41"/>
    <mergeCell ref="S40:S41"/>
    <mergeCell ref="A42:A43"/>
    <mergeCell ref="B42:B43"/>
    <mergeCell ref="C42:C43"/>
    <mergeCell ref="D42:D43"/>
    <mergeCell ref="E42:E43"/>
    <mergeCell ref="F42:F43"/>
    <mergeCell ref="G42:G43"/>
    <mergeCell ref="H42:H43"/>
    <mergeCell ref="H40:H41"/>
    <mergeCell ref="I40:I41"/>
    <mergeCell ref="J40:J41"/>
    <mergeCell ref="M40:M41"/>
    <mergeCell ref="N40:N41"/>
    <mergeCell ref="O40:O41"/>
    <mergeCell ref="P38:P39"/>
    <mergeCell ref="S38:S39"/>
    <mergeCell ref="AK38:AK39"/>
    <mergeCell ref="A40:A41"/>
    <mergeCell ref="B40:B41"/>
    <mergeCell ref="C40:C41"/>
    <mergeCell ref="D40:D41"/>
    <mergeCell ref="E40:E41"/>
    <mergeCell ref="F40:F41"/>
    <mergeCell ref="G40:G41"/>
    <mergeCell ref="H38:H39"/>
    <mergeCell ref="I38:I39"/>
    <mergeCell ref="J38:J39"/>
    <mergeCell ref="M38:M39"/>
    <mergeCell ref="N38:N39"/>
    <mergeCell ref="O38:O39"/>
    <mergeCell ref="O36:O37"/>
    <mergeCell ref="P36:P37"/>
    <mergeCell ref="S36:S37"/>
    <mergeCell ref="A38:A39"/>
    <mergeCell ref="B38:B39"/>
    <mergeCell ref="C38:C39"/>
    <mergeCell ref="D38:D39"/>
    <mergeCell ref="E38:E39"/>
    <mergeCell ref="F38:F39"/>
    <mergeCell ref="G38:G39"/>
    <mergeCell ref="G36:G37"/>
    <mergeCell ref="H36:H37"/>
    <mergeCell ref="I36:I37"/>
    <mergeCell ref="J36:J37"/>
    <mergeCell ref="M36:M37"/>
    <mergeCell ref="N36:N37"/>
    <mergeCell ref="A36:A37"/>
    <mergeCell ref="B36:B37"/>
    <mergeCell ref="C36:C37"/>
    <mergeCell ref="D36:D37"/>
    <mergeCell ref="E36:E37"/>
    <mergeCell ref="F36:F37"/>
    <mergeCell ref="J34:J35"/>
    <mergeCell ref="M34:M35"/>
    <mergeCell ref="N34:N35"/>
    <mergeCell ref="O34:O35"/>
    <mergeCell ref="P34:P35"/>
    <mergeCell ref="S34:S35"/>
    <mergeCell ref="S32:S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I32:I33"/>
    <mergeCell ref="J32:J33"/>
    <mergeCell ref="M32:M33"/>
    <mergeCell ref="N32:N33"/>
    <mergeCell ref="O32:O33"/>
    <mergeCell ref="P32:P33"/>
    <mergeCell ref="P30:P31"/>
    <mergeCell ref="S30:S31"/>
    <mergeCell ref="A32:A33"/>
    <mergeCell ref="B32:B33"/>
    <mergeCell ref="C32:C33"/>
    <mergeCell ref="D32:D33"/>
    <mergeCell ref="E32:E33"/>
    <mergeCell ref="F32:F33"/>
    <mergeCell ref="G32:G33"/>
    <mergeCell ref="H32:H33"/>
    <mergeCell ref="H30:H31"/>
    <mergeCell ref="I30:I31"/>
    <mergeCell ref="J30:J31"/>
    <mergeCell ref="M30:M31"/>
    <mergeCell ref="N30:N31"/>
    <mergeCell ref="O30:O31"/>
    <mergeCell ref="O28:O29"/>
    <mergeCell ref="P28:P29"/>
    <mergeCell ref="S28:S29"/>
    <mergeCell ref="A30:A31"/>
    <mergeCell ref="B30:B31"/>
    <mergeCell ref="C30:C31"/>
    <mergeCell ref="D30:D31"/>
    <mergeCell ref="E30:E31"/>
    <mergeCell ref="F30:F31"/>
    <mergeCell ref="G30:G31"/>
    <mergeCell ref="G28:G29"/>
    <mergeCell ref="H28:H29"/>
    <mergeCell ref="I28:I29"/>
    <mergeCell ref="J28:J29"/>
    <mergeCell ref="M28:M29"/>
    <mergeCell ref="N28:N29"/>
    <mergeCell ref="A28:A29"/>
    <mergeCell ref="B28:B29"/>
    <mergeCell ref="C28:C29"/>
    <mergeCell ref="D28:D29"/>
    <mergeCell ref="E28:E29"/>
    <mergeCell ref="F28:F29"/>
    <mergeCell ref="F26:F27"/>
    <mergeCell ref="G26:G27"/>
    <mergeCell ref="H26:H27"/>
    <mergeCell ref="I26:I27"/>
    <mergeCell ref="J26:J27"/>
    <mergeCell ref="M26:M27"/>
    <mergeCell ref="G24:G25"/>
    <mergeCell ref="H24:H25"/>
    <mergeCell ref="I24:I25"/>
    <mergeCell ref="J24:J25"/>
    <mergeCell ref="M24:M25"/>
    <mergeCell ref="A26:A27"/>
    <mergeCell ref="B26:B27"/>
    <mergeCell ref="C26:C27"/>
    <mergeCell ref="D26:D27"/>
    <mergeCell ref="E26:E27"/>
    <mergeCell ref="A24:A25"/>
    <mergeCell ref="B24:B25"/>
    <mergeCell ref="C24:C25"/>
    <mergeCell ref="D24:D25"/>
    <mergeCell ref="E24:E25"/>
    <mergeCell ref="F24:F25"/>
    <mergeCell ref="F22:F23"/>
    <mergeCell ref="G22:G23"/>
    <mergeCell ref="H22:H23"/>
    <mergeCell ref="I22:I23"/>
    <mergeCell ref="J22:J23"/>
    <mergeCell ref="M22:M23"/>
    <mergeCell ref="G20:G21"/>
    <mergeCell ref="H20:H21"/>
    <mergeCell ref="I20:I21"/>
    <mergeCell ref="J20:J21"/>
    <mergeCell ref="M20:M21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F20:F21"/>
    <mergeCell ref="F18:F19"/>
    <mergeCell ref="G18:G19"/>
    <mergeCell ref="H18:H19"/>
    <mergeCell ref="I18:I19"/>
    <mergeCell ref="J18:J19"/>
    <mergeCell ref="M18:M19"/>
    <mergeCell ref="G16:G17"/>
    <mergeCell ref="H16:H17"/>
    <mergeCell ref="I16:I17"/>
    <mergeCell ref="J16:J17"/>
    <mergeCell ref="M16:M17"/>
    <mergeCell ref="A18:A19"/>
    <mergeCell ref="B18:B19"/>
    <mergeCell ref="C18:C19"/>
    <mergeCell ref="D18:D19"/>
    <mergeCell ref="E18:E19"/>
    <mergeCell ref="A16:A17"/>
    <mergeCell ref="B16:B17"/>
    <mergeCell ref="C16:C17"/>
    <mergeCell ref="D16:D17"/>
    <mergeCell ref="E16:E17"/>
    <mergeCell ref="F16:F17"/>
    <mergeCell ref="F14:F15"/>
    <mergeCell ref="G14:G15"/>
    <mergeCell ref="H14:H15"/>
    <mergeCell ref="I14:I15"/>
    <mergeCell ref="J14:J15"/>
    <mergeCell ref="M14:M15"/>
    <mergeCell ref="G12:G13"/>
    <mergeCell ref="H12:H13"/>
    <mergeCell ref="I12:I13"/>
    <mergeCell ref="J12:J13"/>
    <mergeCell ref="M12:M13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F12:F13"/>
    <mergeCell ref="F10:F11"/>
    <mergeCell ref="G10:G11"/>
    <mergeCell ref="H10:H11"/>
    <mergeCell ref="I10:I11"/>
    <mergeCell ref="J10:J11"/>
    <mergeCell ref="M10:M11"/>
    <mergeCell ref="A9:C9"/>
    <mergeCell ref="A10:A11"/>
    <mergeCell ref="B10:B11"/>
    <mergeCell ref="C10:C11"/>
    <mergeCell ref="D10:D11"/>
    <mergeCell ref="E10:E11"/>
    <mergeCell ref="AL4:AM5"/>
    <mergeCell ref="AN4:AN6"/>
    <mergeCell ref="AO4:AP5"/>
    <mergeCell ref="AQ4:AQ5"/>
    <mergeCell ref="D5:E5"/>
    <mergeCell ref="F5:G5"/>
    <mergeCell ref="AC4:AD5"/>
    <mergeCell ref="AE4:AE5"/>
    <mergeCell ref="AF4:AG5"/>
    <mergeCell ref="AH4:AH6"/>
    <mergeCell ref="AI4:AJ5"/>
    <mergeCell ref="AK4:AK5"/>
    <mergeCell ref="T4:U5"/>
    <mergeCell ref="V4:V6"/>
    <mergeCell ref="W4:X5"/>
    <mergeCell ref="Y4:Y5"/>
    <mergeCell ref="Z4:AA5"/>
    <mergeCell ref="AB4:AB6"/>
    <mergeCell ref="AL3:AQ3"/>
    <mergeCell ref="AR3:AR5"/>
    <mergeCell ref="H4:I5"/>
    <mergeCell ref="J4:J6"/>
    <mergeCell ref="K4:L5"/>
    <mergeCell ref="M4:M5"/>
    <mergeCell ref="N4:O5"/>
    <mergeCell ref="P4:P6"/>
    <mergeCell ref="Q4:R5"/>
    <mergeCell ref="S4:S5"/>
    <mergeCell ref="A2:AQ2"/>
    <mergeCell ref="A3:A6"/>
    <mergeCell ref="B3:B6"/>
    <mergeCell ref="C3:C6"/>
    <mergeCell ref="D3:G4"/>
    <mergeCell ref="H3:M3"/>
    <mergeCell ref="N3:S3"/>
    <mergeCell ref="T3:Y3"/>
    <mergeCell ref="Z3:AE3"/>
    <mergeCell ref="AF3:AK3"/>
  </mergeCells>
  <printOptions horizontalCentered="1" verticalCentered="1"/>
  <pageMargins left="0.23622047244094491" right="0.23622047244094491" top="0.23622047244094491" bottom="0.23622047244094491" header="3.937007874015748E-2" footer="3.937007874015748E-2"/>
  <pageSetup paperSize="9" scale="1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2"/>
  <sheetViews>
    <sheetView view="pageBreakPreview" zoomScale="70" zoomScaleSheetLayoutView="70" workbookViewId="0">
      <selection activeCell="I7" sqref="I7"/>
    </sheetView>
  </sheetViews>
  <sheetFormatPr defaultColWidth="8.85546875" defaultRowHeight="15" x14ac:dyDescent="0.25"/>
  <cols>
    <col min="1" max="1" width="4.28515625" style="80" customWidth="1"/>
    <col min="2" max="2" width="8.7109375" style="80" customWidth="1"/>
    <col min="3" max="3" width="36.42578125" style="80" customWidth="1"/>
    <col min="4" max="4" width="14.85546875" style="77" bestFit="1" customWidth="1"/>
    <col min="5" max="5" width="13.42578125" style="77" bestFit="1" customWidth="1"/>
    <col min="6" max="6" width="18" style="77" customWidth="1"/>
    <col min="7" max="7" width="14.85546875" style="77" bestFit="1" customWidth="1"/>
    <col min="8" max="8" width="13.42578125" style="77" bestFit="1" customWidth="1"/>
    <col min="9" max="9" width="30.28515625" style="77" customWidth="1"/>
    <col min="10" max="10" width="12.85546875" style="77" customWidth="1"/>
    <col min="11" max="11" width="16.28515625" style="77" customWidth="1"/>
    <col min="12" max="12" width="23.42578125" style="77" customWidth="1"/>
  </cols>
  <sheetData>
    <row r="1" spans="1:12" ht="29.25" customHeight="1" x14ac:dyDescent="0.2">
      <c r="A1" s="629" t="s">
        <v>113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12" ht="15" customHeight="1" x14ac:dyDescent="0.2">
      <c r="A2" s="630" t="s">
        <v>0</v>
      </c>
      <c r="B2" s="647" t="s">
        <v>25</v>
      </c>
      <c r="C2" s="631" t="s">
        <v>73</v>
      </c>
      <c r="D2" s="637" t="s">
        <v>59</v>
      </c>
      <c r="E2" s="638"/>
      <c r="F2" s="639"/>
      <c r="G2" s="637" t="s">
        <v>48</v>
      </c>
      <c r="H2" s="638"/>
      <c r="I2" s="638"/>
      <c r="J2" s="638"/>
      <c r="K2" s="639"/>
      <c r="L2" s="634" t="s">
        <v>50</v>
      </c>
    </row>
    <row r="3" spans="1:12" ht="25.5" x14ac:dyDescent="0.2">
      <c r="A3" s="630"/>
      <c r="B3" s="647"/>
      <c r="C3" s="632"/>
      <c r="D3" s="412" t="s">
        <v>28</v>
      </c>
      <c r="E3" s="640"/>
      <c r="F3" s="71" t="s">
        <v>58</v>
      </c>
      <c r="G3" s="412" t="s">
        <v>28</v>
      </c>
      <c r="H3" s="640"/>
      <c r="I3" s="635" t="s">
        <v>29</v>
      </c>
      <c r="J3" s="635" t="s">
        <v>77</v>
      </c>
      <c r="K3" s="71" t="s">
        <v>49</v>
      </c>
      <c r="L3" s="634"/>
    </row>
    <row r="4" spans="1:12" ht="19.5" customHeight="1" x14ac:dyDescent="0.2">
      <c r="A4" s="630"/>
      <c r="B4" s="647"/>
      <c r="C4" s="633"/>
      <c r="D4" s="2" t="s">
        <v>33</v>
      </c>
      <c r="E4" s="2" t="s">
        <v>34</v>
      </c>
      <c r="F4" s="71" t="s">
        <v>5</v>
      </c>
      <c r="G4" s="2" t="s">
        <v>33</v>
      </c>
      <c r="H4" s="2" t="s">
        <v>34</v>
      </c>
      <c r="I4" s="636"/>
      <c r="J4" s="636"/>
      <c r="K4" s="2" t="s">
        <v>35</v>
      </c>
      <c r="L4" s="634"/>
    </row>
    <row r="5" spans="1:12" s="82" customFormat="1" x14ac:dyDescent="0.2">
      <c r="A5" s="72">
        <v>1</v>
      </c>
      <c r="B5" s="72">
        <v>2</v>
      </c>
      <c r="C5" s="73">
        <v>3</v>
      </c>
      <c r="D5" s="95">
        <v>4</v>
      </c>
      <c r="E5" s="81">
        <v>5</v>
      </c>
      <c r="F5" s="74">
        <v>6</v>
      </c>
      <c r="G5" s="74">
        <v>7</v>
      </c>
      <c r="H5" s="74">
        <v>8</v>
      </c>
      <c r="I5" s="2">
        <v>9</v>
      </c>
      <c r="J5" s="74">
        <v>10</v>
      </c>
      <c r="K5" s="74">
        <v>11</v>
      </c>
      <c r="L5" s="74">
        <v>12</v>
      </c>
    </row>
    <row r="6" spans="1:12" ht="14.25" x14ac:dyDescent="0.2">
      <c r="A6" s="641" t="s">
        <v>60</v>
      </c>
      <c r="B6" s="642"/>
      <c r="C6" s="642"/>
      <c r="D6" s="642"/>
      <c r="E6" s="642"/>
      <c r="F6" s="642"/>
      <c r="G6" s="642"/>
      <c r="H6" s="642"/>
      <c r="I6" s="642"/>
      <c r="J6" s="642"/>
      <c r="K6" s="642"/>
      <c r="L6" s="643"/>
    </row>
    <row r="7" spans="1:12" s="147" customFormat="1" ht="45" x14ac:dyDescent="0.25">
      <c r="A7" s="136">
        <v>1</v>
      </c>
      <c r="B7" s="361" t="s">
        <v>166</v>
      </c>
      <c r="C7" s="144" t="s">
        <v>167</v>
      </c>
      <c r="D7" s="362" t="s">
        <v>145</v>
      </c>
      <c r="E7" s="362" t="s">
        <v>168</v>
      </c>
      <c r="F7" s="363">
        <v>5.032</v>
      </c>
      <c r="G7" s="362" t="s">
        <v>145</v>
      </c>
      <c r="H7" s="362" t="s">
        <v>168</v>
      </c>
      <c r="I7" s="363" t="s">
        <v>42</v>
      </c>
      <c r="J7" s="363" t="s">
        <v>756</v>
      </c>
      <c r="K7" s="364">
        <v>399000</v>
      </c>
      <c r="L7" s="152" t="s">
        <v>702</v>
      </c>
    </row>
    <row r="8" spans="1:12" ht="14.25" x14ac:dyDescent="0.2">
      <c r="A8" s="112"/>
      <c r="B8" s="112"/>
      <c r="C8" s="112"/>
      <c r="D8" s="76"/>
      <c r="E8" s="76"/>
      <c r="F8" s="76"/>
      <c r="G8" s="76"/>
      <c r="H8" s="76"/>
      <c r="I8" s="76"/>
      <c r="J8" s="76"/>
      <c r="K8" s="76"/>
      <c r="L8" s="76"/>
    </row>
    <row r="9" spans="1:12" ht="14.25" x14ac:dyDescent="0.2">
      <c r="A9" s="112"/>
      <c r="B9" s="112"/>
      <c r="C9" s="112"/>
      <c r="D9" s="76"/>
      <c r="E9" s="76"/>
      <c r="F9" s="76"/>
      <c r="G9" s="76"/>
      <c r="H9" s="76"/>
      <c r="I9" s="76"/>
      <c r="J9" s="76"/>
      <c r="K9" s="76"/>
      <c r="L9" s="76"/>
    </row>
    <row r="10" spans="1:12" ht="14.25" x14ac:dyDescent="0.2">
      <c r="A10" s="112"/>
      <c r="B10" s="112"/>
      <c r="C10" s="112"/>
      <c r="D10" s="76"/>
      <c r="E10" s="76"/>
      <c r="F10" s="76"/>
      <c r="G10" s="76"/>
      <c r="H10" s="76"/>
      <c r="I10" s="76"/>
      <c r="J10" s="76"/>
      <c r="K10" s="76"/>
      <c r="L10" s="76"/>
    </row>
    <row r="11" spans="1:12" ht="14.25" x14ac:dyDescent="0.2">
      <c r="A11" s="75"/>
      <c r="B11" s="75"/>
      <c r="C11" s="75"/>
      <c r="D11" s="76"/>
      <c r="E11" s="76"/>
      <c r="F11" s="76"/>
      <c r="G11" s="76"/>
      <c r="H11" s="76"/>
      <c r="I11" s="76"/>
      <c r="J11" s="76"/>
      <c r="K11" s="76"/>
      <c r="L11" s="76"/>
    </row>
    <row r="12" spans="1:12" ht="14.25" x14ac:dyDescent="0.2">
      <c r="A12" s="75"/>
      <c r="B12" s="75"/>
      <c r="C12" s="75"/>
      <c r="D12" s="76"/>
      <c r="E12" s="76"/>
      <c r="F12" s="76"/>
      <c r="G12" s="76"/>
      <c r="H12" s="76"/>
      <c r="I12" s="76"/>
      <c r="J12" s="76"/>
      <c r="K12" s="76"/>
      <c r="L12" s="76"/>
    </row>
    <row r="13" spans="1:12" ht="14.25" x14ac:dyDescent="0.2">
      <c r="A13" s="75"/>
      <c r="B13" s="75"/>
      <c r="C13" s="75"/>
      <c r="D13" s="76"/>
      <c r="E13" s="76"/>
      <c r="F13" s="76"/>
      <c r="G13" s="76"/>
      <c r="H13" s="76"/>
      <c r="I13" s="76"/>
      <c r="J13" s="76"/>
      <c r="K13" s="76"/>
      <c r="L13" s="76"/>
    </row>
    <row r="14" spans="1:12" ht="42" customHeight="1" x14ac:dyDescent="0.2">
      <c r="A14" s="644" t="s">
        <v>10</v>
      </c>
      <c r="B14" s="645"/>
      <c r="C14" s="646"/>
      <c r="D14" s="85"/>
      <c r="E14" s="85"/>
      <c r="F14" s="85"/>
      <c r="G14" s="85"/>
      <c r="H14" s="85"/>
      <c r="I14" s="85"/>
      <c r="J14" s="85"/>
      <c r="K14" s="85"/>
      <c r="L14" s="85"/>
    </row>
    <row r="15" spans="1:12" ht="14.25" x14ac:dyDescent="0.2">
      <c r="A15" s="641" t="s">
        <v>112</v>
      </c>
      <c r="B15" s="642"/>
      <c r="C15" s="642"/>
      <c r="D15" s="642"/>
      <c r="E15" s="642"/>
      <c r="F15" s="642"/>
      <c r="G15" s="642"/>
      <c r="H15" s="642"/>
      <c r="I15" s="642"/>
      <c r="J15" s="642"/>
      <c r="K15" s="642"/>
      <c r="L15" s="643"/>
    </row>
    <row r="16" spans="1:12" ht="14.25" x14ac:dyDescent="0.2">
      <c r="A16" s="125"/>
      <c r="B16" s="125"/>
      <c r="C16" s="125"/>
      <c r="D16" s="76"/>
      <c r="E16" s="76"/>
      <c r="F16" s="76"/>
      <c r="G16" s="76"/>
      <c r="H16" s="76"/>
      <c r="I16" s="76"/>
      <c r="J16" s="76"/>
      <c r="K16" s="76"/>
      <c r="L16" s="76"/>
    </row>
    <row r="17" spans="1:12" ht="14.25" x14ac:dyDescent="0.2">
      <c r="A17" s="125"/>
      <c r="B17" s="125"/>
      <c r="C17" s="125"/>
      <c r="D17" s="76"/>
      <c r="E17" s="76"/>
      <c r="F17" s="76"/>
      <c r="G17" s="76"/>
      <c r="H17" s="76"/>
      <c r="I17" s="76"/>
      <c r="J17" s="76"/>
      <c r="K17" s="76"/>
      <c r="L17" s="76"/>
    </row>
    <row r="18" spans="1:12" ht="14.25" x14ac:dyDescent="0.2">
      <c r="A18" s="125"/>
      <c r="B18" s="125"/>
      <c r="C18" s="125"/>
      <c r="D18" s="76"/>
      <c r="E18" s="76"/>
      <c r="F18" s="76"/>
      <c r="G18" s="76"/>
      <c r="H18" s="76"/>
      <c r="I18" s="76"/>
      <c r="J18" s="76"/>
      <c r="K18" s="76"/>
      <c r="L18" s="76"/>
    </row>
    <row r="19" spans="1:12" ht="14.25" x14ac:dyDescent="0.2">
      <c r="A19" s="125"/>
      <c r="B19" s="125"/>
      <c r="C19" s="125"/>
      <c r="D19" s="76"/>
      <c r="E19" s="76"/>
      <c r="F19" s="76"/>
      <c r="G19" s="76"/>
      <c r="H19" s="76"/>
      <c r="I19" s="76"/>
      <c r="J19" s="76"/>
      <c r="K19" s="76"/>
      <c r="L19" s="76"/>
    </row>
    <row r="20" spans="1:12" ht="14.25" x14ac:dyDescent="0.2">
      <c r="A20" s="125"/>
      <c r="B20" s="125"/>
      <c r="C20" s="125"/>
      <c r="D20" s="76"/>
      <c r="E20" s="76"/>
      <c r="F20" s="76"/>
      <c r="G20" s="76"/>
      <c r="H20" s="76"/>
      <c r="I20" s="76"/>
      <c r="J20" s="76"/>
      <c r="K20" s="76"/>
      <c r="L20" s="76"/>
    </row>
    <row r="21" spans="1:12" ht="14.25" x14ac:dyDescent="0.2">
      <c r="A21" s="125"/>
      <c r="B21" s="125"/>
      <c r="C21" s="125"/>
      <c r="D21" s="76"/>
      <c r="E21" s="76"/>
      <c r="F21" s="76"/>
      <c r="G21" s="76"/>
      <c r="H21" s="76"/>
      <c r="I21" s="76"/>
      <c r="J21" s="76"/>
      <c r="K21" s="76"/>
      <c r="L21" s="76"/>
    </row>
    <row r="22" spans="1:12" ht="14.25" x14ac:dyDescent="0.2">
      <c r="A22" s="125"/>
      <c r="B22" s="125"/>
      <c r="C22" s="125"/>
      <c r="D22" s="76"/>
      <c r="E22" s="76"/>
      <c r="F22" s="76"/>
      <c r="G22" s="76"/>
      <c r="H22" s="76"/>
      <c r="I22" s="76"/>
      <c r="J22" s="76"/>
      <c r="K22" s="76"/>
      <c r="L22" s="76"/>
    </row>
    <row r="23" spans="1:12" ht="14.25" x14ac:dyDescent="0.2">
      <c r="A23" s="125"/>
      <c r="B23" s="125"/>
      <c r="C23" s="125"/>
      <c r="D23" s="76"/>
      <c r="E23" s="76"/>
      <c r="F23" s="76"/>
      <c r="G23" s="76"/>
      <c r="H23" s="76"/>
      <c r="I23" s="76"/>
      <c r="J23" s="76"/>
      <c r="K23" s="76"/>
      <c r="L23" s="76"/>
    </row>
    <row r="24" spans="1:12" ht="43.5" customHeight="1" x14ac:dyDescent="0.2">
      <c r="A24" s="644" t="s">
        <v>96</v>
      </c>
      <c r="B24" s="645"/>
      <c r="C24" s="646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20.25" x14ac:dyDescent="0.3">
      <c r="A25" s="78"/>
      <c r="B25" s="78"/>
      <c r="C25" s="77"/>
    </row>
    <row r="26" spans="1:12" ht="20.25" x14ac:dyDescent="0.3">
      <c r="A26" s="78"/>
      <c r="B26" s="78"/>
      <c r="C26" s="79"/>
    </row>
    <row r="27" spans="1:12" ht="20.25" x14ac:dyDescent="0.3">
      <c r="A27" s="78"/>
      <c r="B27" s="78"/>
      <c r="C27" s="79"/>
    </row>
    <row r="28" spans="1:12" ht="20.25" x14ac:dyDescent="0.3">
      <c r="A28" s="78"/>
      <c r="B28" s="78"/>
      <c r="C28" s="79"/>
    </row>
    <row r="29" spans="1:12" ht="18.75" x14ac:dyDescent="0.3">
      <c r="C29" s="79"/>
    </row>
    <row r="30" spans="1:12" ht="18.75" x14ac:dyDescent="0.3">
      <c r="C30" s="79"/>
    </row>
    <row r="31" spans="1:12" ht="18.75" x14ac:dyDescent="0.3">
      <c r="C31" s="79"/>
    </row>
    <row r="32" spans="1:12" ht="18.75" x14ac:dyDescent="0.3">
      <c r="C32" s="79"/>
    </row>
  </sheetData>
  <mergeCells count="15">
    <mergeCell ref="A15:L15"/>
    <mergeCell ref="A24:C24"/>
    <mergeCell ref="A14:C14"/>
    <mergeCell ref="B2:B4"/>
    <mergeCell ref="D2:F2"/>
    <mergeCell ref="D3:E3"/>
    <mergeCell ref="I3:I4"/>
    <mergeCell ref="A6:L6"/>
    <mergeCell ref="A1:L1"/>
    <mergeCell ref="A2:A4"/>
    <mergeCell ref="C2:C4"/>
    <mergeCell ref="L2:L4"/>
    <mergeCell ref="J3:J4"/>
    <mergeCell ref="G2:K2"/>
    <mergeCell ref="G3:H3"/>
  </mergeCells>
  <pageMargins left="0.7" right="0.7" top="0.75" bottom="0.75" header="0.3" footer="0.3"/>
  <pageSetup paperSize="9" scale="58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view="pageBreakPreview" topLeftCell="A19" zoomScale="70" zoomScaleSheetLayoutView="70" workbookViewId="0">
      <selection activeCell="Q13" sqref="Q13"/>
    </sheetView>
  </sheetViews>
  <sheetFormatPr defaultColWidth="8.85546875" defaultRowHeight="15" x14ac:dyDescent="0.25"/>
  <cols>
    <col min="1" max="1" width="6.28515625" customWidth="1"/>
    <col min="3" max="3" width="25.42578125" style="80" customWidth="1"/>
    <col min="4" max="5" width="8.85546875" style="80"/>
    <col min="6" max="6" width="13.85546875" style="80" customWidth="1"/>
    <col min="7" max="7" width="21.42578125" style="80" customWidth="1"/>
    <col min="8" max="8" width="7.42578125" style="80" customWidth="1"/>
    <col min="9" max="9" width="11.42578125" style="80" bestFit="1" customWidth="1"/>
    <col min="10" max="10" width="20.42578125" style="80" customWidth="1"/>
    <col min="11" max="12" width="12.7109375" style="80" customWidth="1"/>
    <col min="13" max="13" width="22.140625" style="80" customWidth="1"/>
    <col min="14" max="14" width="9" style="80" customWidth="1"/>
    <col min="15" max="15" width="8.7109375" style="80" customWidth="1"/>
    <col min="16" max="16" width="14.42578125" style="80" customWidth="1"/>
    <col min="17" max="17" width="11.140625" style="80" bestFit="1" customWidth="1"/>
    <col min="18" max="18" width="16" style="80" customWidth="1"/>
    <col min="19" max="19" width="15.7109375" style="80" customWidth="1"/>
  </cols>
  <sheetData>
    <row r="1" spans="1:19" ht="45" customHeight="1" x14ac:dyDescent="0.2">
      <c r="A1" s="666" t="s">
        <v>125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</row>
    <row r="2" spans="1:19" ht="45.75" customHeight="1" x14ac:dyDescent="0.2">
      <c r="A2" s="630" t="s">
        <v>0</v>
      </c>
      <c r="B2" s="647" t="s">
        <v>25</v>
      </c>
      <c r="C2" s="652" t="s">
        <v>114</v>
      </c>
      <c r="D2" s="652" t="s">
        <v>115</v>
      </c>
      <c r="E2" s="652"/>
      <c r="F2" s="667" t="s">
        <v>116</v>
      </c>
      <c r="G2" s="652"/>
      <c r="H2" s="652"/>
      <c r="I2" s="652"/>
      <c r="J2" s="653" t="s">
        <v>91</v>
      </c>
      <c r="K2" s="667" t="s">
        <v>117</v>
      </c>
      <c r="L2" s="652"/>
      <c r="M2" s="490" t="s">
        <v>92</v>
      </c>
      <c r="N2" s="634" t="s">
        <v>93</v>
      </c>
      <c r="O2" s="634"/>
      <c r="P2" s="634"/>
      <c r="Q2" s="634"/>
      <c r="R2" s="634"/>
      <c r="S2" s="653" t="s">
        <v>50</v>
      </c>
    </row>
    <row r="3" spans="1:19" ht="30.75" customHeight="1" x14ac:dyDescent="0.2">
      <c r="A3" s="630"/>
      <c r="B3" s="647"/>
      <c r="C3" s="652"/>
      <c r="D3" s="411" t="s">
        <v>33</v>
      </c>
      <c r="E3" s="411" t="s">
        <v>34</v>
      </c>
      <c r="F3" s="652" t="s">
        <v>61</v>
      </c>
      <c r="G3" s="654" t="s">
        <v>76</v>
      </c>
      <c r="H3" s="656" t="s">
        <v>118</v>
      </c>
      <c r="I3" s="657"/>
      <c r="J3" s="653"/>
      <c r="K3" s="652" t="s">
        <v>54</v>
      </c>
      <c r="L3" s="652" t="s">
        <v>55</v>
      </c>
      <c r="M3" s="668"/>
      <c r="N3" s="411" t="s">
        <v>119</v>
      </c>
      <c r="O3" s="411"/>
      <c r="P3" s="411" t="s">
        <v>120</v>
      </c>
      <c r="Q3" s="411" t="s">
        <v>121</v>
      </c>
      <c r="R3" s="660" t="s">
        <v>122</v>
      </c>
      <c r="S3" s="653"/>
    </row>
    <row r="4" spans="1:19" ht="45.75" customHeight="1" x14ac:dyDescent="0.2">
      <c r="A4" s="630"/>
      <c r="B4" s="647"/>
      <c r="C4" s="652"/>
      <c r="D4" s="411"/>
      <c r="E4" s="411"/>
      <c r="F4" s="652"/>
      <c r="G4" s="655"/>
      <c r="H4" s="658"/>
      <c r="I4" s="659"/>
      <c r="J4" s="653"/>
      <c r="K4" s="652"/>
      <c r="L4" s="652"/>
      <c r="M4" s="491"/>
      <c r="N4" s="127" t="s">
        <v>33</v>
      </c>
      <c r="O4" s="127" t="s">
        <v>34</v>
      </c>
      <c r="P4" s="411"/>
      <c r="Q4" s="411"/>
      <c r="R4" s="661"/>
      <c r="S4" s="653"/>
    </row>
    <row r="5" spans="1:19" s="82" customFormat="1" x14ac:dyDescent="0.2">
      <c r="A5" s="129">
        <v>1</v>
      </c>
      <c r="B5" s="128">
        <v>2</v>
      </c>
      <c r="C5" s="133">
        <v>3</v>
      </c>
      <c r="D5" s="133">
        <v>4</v>
      </c>
      <c r="E5" s="133">
        <v>5</v>
      </c>
      <c r="F5" s="133">
        <v>6</v>
      </c>
      <c r="G5" s="129">
        <v>7</v>
      </c>
      <c r="H5" s="662">
        <v>8</v>
      </c>
      <c r="I5" s="663"/>
      <c r="J5" s="133">
        <v>9</v>
      </c>
      <c r="K5" s="133">
        <v>10</v>
      </c>
      <c r="L5" s="133">
        <v>11</v>
      </c>
      <c r="M5" s="129">
        <v>12</v>
      </c>
      <c r="N5" s="128">
        <v>13</v>
      </c>
      <c r="O5" s="133">
        <v>14</v>
      </c>
      <c r="P5" s="133">
        <v>15</v>
      </c>
      <c r="Q5" s="133">
        <v>16</v>
      </c>
      <c r="R5" s="133">
        <v>17</v>
      </c>
      <c r="S5" s="129">
        <v>18</v>
      </c>
    </row>
    <row r="6" spans="1:19" s="82" customFormat="1" x14ac:dyDescent="0.2">
      <c r="A6" s="648" t="s">
        <v>757</v>
      </c>
      <c r="B6" s="527"/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8"/>
    </row>
    <row r="7" spans="1:19" ht="15.75" customHeight="1" x14ac:dyDescent="0.2">
      <c r="A7" s="664" t="s">
        <v>52</v>
      </c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</row>
    <row r="8" spans="1:19" ht="95.25" customHeight="1" x14ac:dyDescent="0.2">
      <c r="A8" s="138">
        <v>1</v>
      </c>
      <c r="B8" s="138">
        <v>89861</v>
      </c>
      <c r="C8" s="138" t="s">
        <v>171</v>
      </c>
      <c r="D8" s="138" t="s">
        <v>172</v>
      </c>
      <c r="E8" s="138" t="s">
        <v>173</v>
      </c>
      <c r="F8" s="138">
        <v>5</v>
      </c>
      <c r="G8" s="138">
        <v>0</v>
      </c>
      <c r="H8" s="148" t="s">
        <v>174</v>
      </c>
      <c r="I8" s="148" t="s">
        <v>220</v>
      </c>
      <c r="J8" s="138" t="s">
        <v>175</v>
      </c>
      <c r="K8" s="138">
        <v>1</v>
      </c>
      <c r="L8" s="138">
        <v>8</v>
      </c>
      <c r="M8" s="375" t="s">
        <v>776</v>
      </c>
      <c r="N8" s="138" t="s">
        <v>172</v>
      </c>
      <c r="O8" s="138" t="s">
        <v>173</v>
      </c>
      <c r="P8" s="354" t="s">
        <v>765</v>
      </c>
      <c r="Q8" s="138">
        <v>2019</v>
      </c>
      <c r="R8" s="360" t="s">
        <v>775</v>
      </c>
      <c r="S8" s="360" t="s">
        <v>774</v>
      </c>
    </row>
    <row r="9" spans="1:19" ht="95.25" customHeight="1" x14ac:dyDescent="0.2">
      <c r="A9" s="138">
        <v>2</v>
      </c>
      <c r="B9" s="138">
        <v>89861</v>
      </c>
      <c r="C9" s="138" t="s">
        <v>171</v>
      </c>
      <c r="D9" s="138" t="s">
        <v>176</v>
      </c>
      <c r="E9" s="138" t="s">
        <v>177</v>
      </c>
      <c r="F9" s="138">
        <v>4</v>
      </c>
      <c r="G9" s="138">
        <v>0</v>
      </c>
      <c r="H9" s="148" t="s">
        <v>178</v>
      </c>
      <c r="I9" s="148" t="s">
        <v>179</v>
      </c>
      <c r="J9" s="138" t="s">
        <v>180</v>
      </c>
      <c r="K9" s="138">
        <v>0</v>
      </c>
      <c r="L9" s="138">
        <v>7</v>
      </c>
      <c r="M9" s="375" t="s">
        <v>776</v>
      </c>
      <c r="N9" s="138" t="s">
        <v>176</v>
      </c>
      <c r="O9" s="138" t="s">
        <v>177</v>
      </c>
      <c r="P9" s="354" t="s">
        <v>764</v>
      </c>
      <c r="Q9" s="376">
        <v>2019</v>
      </c>
      <c r="R9" s="360" t="s">
        <v>775</v>
      </c>
      <c r="S9" s="360" t="s">
        <v>774</v>
      </c>
    </row>
    <row r="10" spans="1:19" ht="15.75" customHeight="1" x14ac:dyDescent="0.2">
      <c r="A10" s="665" t="s">
        <v>51</v>
      </c>
      <c r="B10" s="665"/>
      <c r="C10" s="665"/>
      <c r="D10" s="83"/>
      <c r="E10" s="83"/>
      <c r="F10" s="83">
        <f>F8+F9</f>
        <v>9</v>
      </c>
      <c r="G10" s="83"/>
      <c r="H10" s="669"/>
      <c r="I10" s="670"/>
      <c r="J10" s="83"/>
      <c r="K10" s="83">
        <f>K8+K9</f>
        <v>1</v>
      </c>
      <c r="L10" s="83">
        <f>L8+L9</f>
        <v>15</v>
      </c>
      <c r="M10" s="83"/>
      <c r="N10" s="83"/>
      <c r="O10" s="83"/>
      <c r="P10" s="83"/>
      <c r="Q10" s="83"/>
      <c r="R10" s="83"/>
      <c r="S10" s="83"/>
    </row>
    <row r="11" spans="1:19" ht="15.75" customHeight="1" x14ac:dyDescent="0.2">
      <c r="A11" s="664" t="s">
        <v>60</v>
      </c>
      <c r="B11" s="664"/>
      <c r="C11" s="664"/>
      <c r="D11" s="664"/>
      <c r="E11" s="664"/>
      <c r="F11" s="664"/>
      <c r="G11" s="664"/>
      <c r="H11" s="664"/>
      <c r="I11" s="664"/>
      <c r="J11" s="664"/>
      <c r="K11" s="664"/>
      <c r="L11" s="664"/>
      <c r="M11" s="664"/>
      <c r="N11" s="664"/>
      <c r="O11" s="664"/>
      <c r="P11" s="664"/>
      <c r="Q11" s="664"/>
      <c r="R11" s="664"/>
      <c r="S11" s="664"/>
    </row>
    <row r="12" spans="1:19" ht="121.5" customHeight="1" x14ac:dyDescent="0.2">
      <c r="A12" s="149">
        <v>3</v>
      </c>
      <c r="B12" s="149">
        <v>1948142</v>
      </c>
      <c r="C12" s="138" t="s">
        <v>169</v>
      </c>
      <c r="D12" s="138" t="s">
        <v>181</v>
      </c>
      <c r="E12" s="138" t="s">
        <v>182</v>
      </c>
      <c r="F12" s="138">
        <v>3</v>
      </c>
      <c r="G12" s="138">
        <v>1</v>
      </c>
      <c r="H12" s="138">
        <v>2</v>
      </c>
      <c r="I12" s="138">
        <v>1</v>
      </c>
      <c r="J12" s="138" t="s">
        <v>183</v>
      </c>
      <c r="K12" s="138">
        <v>2</v>
      </c>
      <c r="L12" s="138">
        <v>6</v>
      </c>
      <c r="M12" s="138" t="s">
        <v>184</v>
      </c>
      <c r="N12" s="138" t="s">
        <v>181</v>
      </c>
      <c r="O12" s="138" t="s">
        <v>182</v>
      </c>
      <c r="P12" s="354" t="s">
        <v>766</v>
      </c>
      <c r="Q12" s="138">
        <v>2024</v>
      </c>
      <c r="R12" s="138">
        <v>2500</v>
      </c>
      <c r="S12" s="360" t="s">
        <v>780</v>
      </c>
    </row>
    <row r="13" spans="1:19" ht="15.75" customHeight="1" x14ac:dyDescent="0.2">
      <c r="A13" s="665" t="s">
        <v>51</v>
      </c>
      <c r="B13" s="665"/>
      <c r="C13" s="665"/>
      <c r="D13" s="83"/>
      <c r="E13" s="83"/>
      <c r="F13" s="83">
        <f>F12</f>
        <v>3</v>
      </c>
      <c r="G13" s="83"/>
      <c r="H13" s="669"/>
      <c r="I13" s="670"/>
      <c r="J13" s="83"/>
      <c r="K13" s="83">
        <f>K12</f>
        <v>2</v>
      </c>
      <c r="L13" s="83">
        <f>L12</f>
        <v>6</v>
      </c>
      <c r="M13" s="83"/>
      <c r="N13" s="83"/>
      <c r="O13" s="83"/>
      <c r="P13" s="83"/>
      <c r="Q13" s="83"/>
      <c r="R13" s="83"/>
      <c r="S13" s="83"/>
    </row>
    <row r="14" spans="1:19" ht="15.75" customHeight="1" x14ac:dyDescent="0.2">
      <c r="A14" s="671" t="s">
        <v>56</v>
      </c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672"/>
      <c r="P14" s="672"/>
      <c r="Q14" s="672"/>
      <c r="R14" s="672"/>
      <c r="S14" s="673"/>
    </row>
    <row r="15" spans="1:19" ht="195.75" customHeight="1" x14ac:dyDescent="0.2">
      <c r="A15" s="149">
        <v>4</v>
      </c>
      <c r="B15" s="150">
        <v>2447951</v>
      </c>
      <c r="C15" s="151" t="s">
        <v>185</v>
      </c>
      <c r="D15" s="674" t="s">
        <v>186</v>
      </c>
      <c r="E15" s="675"/>
      <c r="F15" s="138">
        <v>6</v>
      </c>
      <c r="G15" s="138">
        <v>2</v>
      </c>
      <c r="H15" s="138" t="s">
        <v>221</v>
      </c>
      <c r="I15" s="138" t="s">
        <v>222</v>
      </c>
      <c r="J15" s="138" t="s">
        <v>187</v>
      </c>
      <c r="K15" s="138">
        <v>2</v>
      </c>
      <c r="L15" s="138">
        <v>9</v>
      </c>
      <c r="M15" s="138" t="s">
        <v>188</v>
      </c>
      <c r="N15" s="674" t="s">
        <v>186</v>
      </c>
      <c r="O15" s="675"/>
      <c r="P15" s="138" t="s">
        <v>652</v>
      </c>
      <c r="Q15" s="199">
        <v>2024</v>
      </c>
      <c r="R15" s="138">
        <v>8000</v>
      </c>
      <c r="S15" s="360" t="s">
        <v>782</v>
      </c>
    </row>
    <row r="16" spans="1:19" ht="195" customHeight="1" x14ac:dyDescent="0.2">
      <c r="A16" s="149">
        <v>5</v>
      </c>
      <c r="B16" s="150">
        <v>2447951</v>
      </c>
      <c r="C16" s="151" t="s">
        <v>185</v>
      </c>
      <c r="D16" s="674" t="s">
        <v>190</v>
      </c>
      <c r="E16" s="675"/>
      <c r="F16" s="138">
        <v>9</v>
      </c>
      <c r="G16" s="138">
        <v>6</v>
      </c>
      <c r="H16" s="138" t="s">
        <v>223</v>
      </c>
      <c r="I16" s="138" t="s">
        <v>191</v>
      </c>
      <c r="J16" s="138" t="s">
        <v>192</v>
      </c>
      <c r="K16" s="138">
        <v>1</v>
      </c>
      <c r="L16" s="138">
        <v>8</v>
      </c>
      <c r="M16" s="138" t="s">
        <v>193</v>
      </c>
      <c r="N16" s="674" t="s">
        <v>190</v>
      </c>
      <c r="O16" s="675"/>
      <c r="P16" s="138" t="s">
        <v>653</v>
      </c>
      <c r="Q16" s="199">
        <v>2022</v>
      </c>
      <c r="R16" s="138">
        <v>8000</v>
      </c>
      <c r="S16" s="360" t="s">
        <v>778</v>
      </c>
    </row>
    <row r="17" spans="1:19" ht="135" x14ac:dyDescent="0.2">
      <c r="A17" s="149">
        <v>6</v>
      </c>
      <c r="B17" s="150">
        <v>2448995</v>
      </c>
      <c r="C17" s="151" t="s">
        <v>194</v>
      </c>
      <c r="D17" s="674" t="s">
        <v>195</v>
      </c>
      <c r="E17" s="675"/>
      <c r="F17" s="138">
        <v>5</v>
      </c>
      <c r="G17" s="138">
        <v>1</v>
      </c>
      <c r="H17" s="138">
        <v>5</v>
      </c>
      <c r="I17" s="138">
        <v>5</v>
      </c>
      <c r="J17" s="138" t="s">
        <v>196</v>
      </c>
      <c r="K17" s="138">
        <v>0</v>
      </c>
      <c r="L17" s="138">
        <v>5</v>
      </c>
      <c r="M17" s="138">
        <v>18</v>
      </c>
      <c r="N17" s="674" t="s">
        <v>195</v>
      </c>
      <c r="O17" s="675"/>
      <c r="P17" s="360" t="s">
        <v>208</v>
      </c>
      <c r="Q17" s="199">
        <v>2018</v>
      </c>
      <c r="R17" s="138">
        <v>59000</v>
      </c>
      <c r="S17" s="360" t="s">
        <v>779</v>
      </c>
    </row>
    <row r="18" spans="1:19" ht="135" x14ac:dyDescent="0.2">
      <c r="A18" s="149">
        <v>7</v>
      </c>
      <c r="B18" s="150">
        <v>2448995</v>
      </c>
      <c r="C18" s="151" t="s">
        <v>194</v>
      </c>
      <c r="D18" s="674" t="s">
        <v>197</v>
      </c>
      <c r="E18" s="675"/>
      <c r="F18" s="138">
        <v>5</v>
      </c>
      <c r="G18" s="138">
        <v>2</v>
      </c>
      <c r="H18" s="138" t="s">
        <v>198</v>
      </c>
      <c r="I18" s="138" t="s">
        <v>199</v>
      </c>
      <c r="J18" s="138" t="s">
        <v>200</v>
      </c>
      <c r="K18" s="138">
        <v>0</v>
      </c>
      <c r="L18" s="138">
        <v>5</v>
      </c>
      <c r="M18" s="138" t="s">
        <v>201</v>
      </c>
      <c r="N18" s="674" t="s">
        <v>197</v>
      </c>
      <c r="O18" s="675"/>
      <c r="P18" s="138" t="s">
        <v>189</v>
      </c>
      <c r="Q18" s="199">
        <v>2018</v>
      </c>
      <c r="R18" s="138">
        <v>59000</v>
      </c>
      <c r="S18" s="360" t="s">
        <v>779</v>
      </c>
    </row>
    <row r="19" spans="1:19" ht="150" x14ac:dyDescent="0.2">
      <c r="A19" s="149">
        <v>8</v>
      </c>
      <c r="B19" s="150">
        <v>2448995</v>
      </c>
      <c r="C19" s="151" t="s">
        <v>194</v>
      </c>
      <c r="D19" s="674" t="s">
        <v>202</v>
      </c>
      <c r="E19" s="675"/>
      <c r="F19" s="138">
        <v>4</v>
      </c>
      <c r="G19" s="138">
        <v>1</v>
      </c>
      <c r="H19" s="138" t="s">
        <v>178</v>
      </c>
      <c r="I19" s="138" t="s">
        <v>203</v>
      </c>
      <c r="J19" s="138" t="s">
        <v>204</v>
      </c>
      <c r="K19" s="138">
        <v>3</v>
      </c>
      <c r="L19" s="138">
        <v>5</v>
      </c>
      <c r="M19" s="138">
        <v>23</v>
      </c>
      <c r="N19" s="674" t="s">
        <v>202</v>
      </c>
      <c r="O19" s="675"/>
      <c r="P19" s="138" t="s">
        <v>189</v>
      </c>
      <c r="Q19" s="199">
        <v>2018</v>
      </c>
      <c r="R19" s="138">
        <v>59000</v>
      </c>
      <c r="S19" s="360" t="s">
        <v>779</v>
      </c>
    </row>
    <row r="20" spans="1:19" ht="90" x14ac:dyDescent="0.2">
      <c r="A20" s="149">
        <v>9</v>
      </c>
      <c r="B20" s="150">
        <v>2448183</v>
      </c>
      <c r="C20" s="151" t="s">
        <v>205</v>
      </c>
      <c r="D20" s="674" t="s">
        <v>206</v>
      </c>
      <c r="E20" s="675"/>
      <c r="F20" s="138">
        <v>4</v>
      </c>
      <c r="G20" s="138">
        <v>0</v>
      </c>
      <c r="H20" s="138">
        <v>5</v>
      </c>
      <c r="I20" s="138">
        <v>4</v>
      </c>
      <c r="J20" s="138" t="s">
        <v>207</v>
      </c>
      <c r="K20" s="138">
        <v>0</v>
      </c>
      <c r="L20" s="138">
        <v>4</v>
      </c>
      <c r="M20" s="138">
        <v>18</v>
      </c>
      <c r="N20" s="674" t="s">
        <v>206</v>
      </c>
      <c r="O20" s="675"/>
      <c r="P20" s="138" t="s">
        <v>208</v>
      </c>
      <c r="Q20" s="199" t="s">
        <v>781</v>
      </c>
      <c r="R20" s="138">
        <v>3000</v>
      </c>
      <c r="S20" s="360" t="s">
        <v>777</v>
      </c>
    </row>
    <row r="21" spans="1:19" ht="105" x14ac:dyDescent="0.2">
      <c r="A21" s="149">
        <v>10</v>
      </c>
      <c r="B21" s="150">
        <v>2447956</v>
      </c>
      <c r="C21" s="151" t="s">
        <v>209</v>
      </c>
      <c r="D21" s="674" t="s">
        <v>210</v>
      </c>
      <c r="E21" s="675"/>
      <c r="F21" s="138">
        <v>4</v>
      </c>
      <c r="G21" s="138">
        <v>2</v>
      </c>
      <c r="H21" s="138">
        <v>1</v>
      </c>
      <c r="I21" s="138">
        <v>4</v>
      </c>
      <c r="J21" s="138" t="s">
        <v>211</v>
      </c>
      <c r="K21" s="138">
        <v>0</v>
      </c>
      <c r="L21" s="138">
        <v>6</v>
      </c>
      <c r="M21" s="138" t="s">
        <v>201</v>
      </c>
      <c r="N21" s="674" t="s">
        <v>210</v>
      </c>
      <c r="O21" s="675"/>
      <c r="P21" s="138" t="s">
        <v>212</v>
      </c>
      <c r="Q21" s="199" t="s">
        <v>756</v>
      </c>
      <c r="R21" s="138">
        <v>90800</v>
      </c>
      <c r="S21" s="360" t="s">
        <v>777</v>
      </c>
    </row>
    <row r="22" spans="1:19" ht="90" x14ac:dyDescent="0.25">
      <c r="A22" s="149">
        <v>11</v>
      </c>
      <c r="B22" s="150">
        <v>2448628</v>
      </c>
      <c r="C22" s="151" t="s">
        <v>213</v>
      </c>
      <c r="D22" s="676" t="s">
        <v>214</v>
      </c>
      <c r="E22" s="675"/>
      <c r="F22" s="138">
        <v>4</v>
      </c>
      <c r="G22" s="137">
        <v>3</v>
      </c>
      <c r="H22" s="138" t="s">
        <v>215</v>
      </c>
      <c r="I22" s="138" t="s">
        <v>216</v>
      </c>
      <c r="J22" s="137" t="s">
        <v>217</v>
      </c>
      <c r="K22" s="137">
        <v>2</v>
      </c>
      <c r="L22" s="137">
        <v>3</v>
      </c>
      <c r="M22" s="137" t="s">
        <v>218</v>
      </c>
      <c r="N22" s="676" t="s">
        <v>214</v>
      </c>
      <c r="O22" s="675"/>
      <c r="P22" s="138" t="s">
        <v>208</v>
      </c>
      <c r="Q22" s="138">
        <v>2025</v>
      </c>
      <c r="R22" s="137">
        <v>3000</v>
      </c>
      <c r="S22" s="152" t="s">
        <v>219</v>
      </c>
    </row>
    <row r="23" spans="1:19" x14ac:dyDescent="0.2">
      <c r="A23" s="649" t="s">
        <v>51</v>
      </c>
      <c r="B23" s="650"/>
      <c r="C23" s="651"/>
      <c r="D23" s="83"/>
      <c r="E23" s="83"/>
      <c r="F23" s="83">
        <f>SUM(F15:F22)</f>
        <v>41</v>
      </c>
      <c r="G23" s="83"/>
      <c r="H23" s="669"/>
      <c r="I23" s="670"/>
      <c r="J23" s="83"/>
      <c r="K23" s="83">
        <f>SUM(K15:K22)</f>
        <v>8</v>
      </c>
      <c r="L23" s="83">
        <f>SUM(L15:L22)</f>
        <v>45</v>
      </c>
      <c r="M23" s="83"/>
      <c r="N23" s="83"/>
      <c r="O23" s="83"/>
      <c r="P23" s="83"/>
      <c r="Q23" s="83"/>
      <c r="R23" s="83"/>
      <c r="S23" s="83"/>
    </row>
    <row r="24" spans="1:19" x14ac:dyDescent="0.2">
      <c r="A24" s="130"/>
      <c r="B24" s="131"/>
      <c r="C24" s="132"/>
      <c r="D24" s="83"/>
      <c r="E24" s="83"/>
      <c r="F24" s="83"/>
      <c r="G24" s="83"/>
      <c r="H24" s="669"/>
      <c r="I24" s="670"/>
      <c r="J24" s="83"/>
      <c r="K24" s="83"/>
      <c r="L24" s="83"/>
      <c r="M24" s="83"/>
      <c r="N24" s="83"/>
      <c r="O24" s="83"/>
      <c r="P24" s="83"/>
      <c r="Q24" s="83"/>
      <c r="R24" s="83"/>
      <c r="S24" s="83"/>
    </row>
    <row r="25" spans="1:19" x14ac:dyDescent="0.25">
      <c r="A25" s="677" t="s">
        <v>53</v>
      </c>
      <c r="B25" s="677"/>
      <c r="C25" s="677"/>
      <c r="D25" s="84"/>
      <c r="E25" s="84"/>
      <c r="F25" s="153">
        <f>F10+F13+F23</f>
        <v>53</v>
      </c>
      <c r="G25" s="153"/>
      <c r="H25" s="678"/>
      <c r="I25" s="679"/>
      <c r="J25" s="153"/>
      <c r="K25" s="153">
        <f>K10+K13+K23</f>
        <v>11</v>
      </c>
      <c r="L25" s="153">
        <f>L10+L13+L23</f>
        <v>66</v>
      </c>
      <c r="M25" s="84"/>
      <c r="N25" s="84"/>
      <c r="O25" s="84"/>
      <c r="P25" s="84"/>
      <c r="Q25" s="84"/>
      <c r="R25" s="84"/>
      <c r="S25" s="84"/>
    </row>
    <row r="26" spans="1:19" s="80" customFormat="1" ht="15" customHeight="1" x14ac:dyDescent="0.25">
      <c r="A26" s="680" t="s">
        <v>123</v>
      </c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</row>
    <row r="27" spans="1:19" s="80" customFormat="1" ht="15" customHeight="1" x14ac:dyDescent="0.25">
      <c r="A27" s="682" t="s">
        <v>126</v>
      </c>
      <c r="B27" s="682"/>
      <c r="C27" s="682"/>
      <c r="D27" s="682"/>
      <c r="E27" s="682"/>
      <c r="F27" s="682"/>
      <c r="G27" s="682"/>
      <c r="H27" s="682"/>
      <c r="I27" s="682"/>
      <c r="J27" s="682"/>
      <c r="K27" s="682"/>
      <c r="L27" s="682"/>
      <c r="M27" s="682"/>
      <c r="N27" s="682"/>
      <c r="O27" s="682"/>
      <c r="P27" s="682"/>
      <c r="Q27" s="682"/>
      <c r="R27" s="682"/>
      <c r="S27" s="682"/>
    </row>
    <row r="28" spans="1:19" s="80" customFormat="1" ht="15" customHeight="1" x14ac:dyDescent="0.25">
      <c r="A28" s="683" t="s">
        <v>52</v>
      </c>
      <c r="B28" s="683"/>
      <c r="C28" s="683"/>
      <c r="D28" s="683"/>
      <c r="E28" s="683"/>
      <c r="F28" s="683"/>
      <c r="G28" s="683"/>
      <c r="H28" s="683"/>
      <c r="I28" s="683"/>
      <c r="J28" s="683"/>
      <c r="K28" s="683"/>
      <c r="L28" s="683"/>
      <c r="M28" s="683"/>
      <c r="N28" s="683"/>
      <c r="O28" s="683"/>
      <c r="P28" s="683"/>
      <c r="Q28" s="683"/>
      <c r="R28" s="683"/>
      <c r="S28" s="683"/>
    </row>
    <row r="29" spans="1:19" s="80" customFormat="1" x14ac:dyDescent="0.25">
      <c r="A29" s="118"/>
      <c r="B29" s="118"/>
      <c r="C29" s="133"/>
      <c r="D29" s="133"/>
      <c r="E29" s="133"/>
      <c r="F29" s="133"/>
      <c r="G29" s="133"/>
      <c r="H29" s="674"/>
      <c r="I29" s="684"/>
      <c r="J29" s="133"/>
      <c r="K29" s="133"/>
      <c r="L29" s="133"/>
      <c r="M29" s="133"/>
      <c r="N29" s="133"/>
      <c r="O29" s="133"/>
      <c r="P29" s="133"/>
      <c r="Q29" s="133"/>
      <c r="R29" s="133"/>
      <c r="S29" s="133"/>
    </row>
    <row r="30" spans="1:19" s="80" customFormat="1" x14ac:dyDescent="0.25">
      <c r="A30" s="118"/>
      <c r="B30" s="118"/>
      <c r="C30" s="133"/>
      <c r="D30" s="133"/>
      <c r="E30" s="133"/>
      <c r="F30" s="133"/>
      <c r="G30" s="133"/>
      <c r="H30" s="674"/>
      <c r="I30" s="684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s="80" customFormat="1" x14ac:dyDescent="0.25">
      <c r="A31" s="118"/>
      <c r="B31" s="118"/>
      <c r="C31" s="133"/>
      <c r="D31" s="133"/>
      <c r="E31" s="133"/>
      <c r="F31" s="133"/>
      <c r="G31" s="133"/>
      <c r="H31" s="674"/>
      <c r="I31" s="684"/>
      <c r="J31" s="133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s="80" customFormat="1" x14ac:dyDescent="0.25">
      <c r="A32" s="665" t="s">
        <v>51</v>
      </c>
      <c r="B32" s="665"/>
      <c r="C32" s="665"/>
      <c r="D32" s="83"/>
      <c r="E32" s="83"/>
      <c r="F32" s="83"/>
      <c r="G32" s="83"/>
      <c r="H32" s="669"/>
      <c r="I32" s="670"/>
      <c r="J32" s="83"/>
      <c r="K32" s="83"/>
      <c r="L32" s="83"/>
      <c r="M32" s="83"/>
      <c r="N32" s="83"/>
      <c r="O32" s="83"/>
      <c r="P32" s="83"/>
      <c r="Q32" s="83"/>
      <c r="R32" s="83"/>
      <c r="S32" s="83"/>
    </row>
    <row r="33" spans="1:19" s="80" customFormat="1" x14ac:dyDescent="0.25">
      <c r="A33" s="664" t="s">
        <v>60</v>
      </c>
      <c r="B33" s="664"/>
      <c r="C33" s="664"/>
      <c r="D33" s="664"/>
      <c r="E33" s="664"/>
      <c r="F33" s="664"/>
      <c r="G33" s="664"/>
      <c r="H33" s="664"/>
      <c r="I33" s="664"/>
      <c r="J33" s="664"/>
      <c r="K33" s="664"/>
      <c r="L33" s="664"/>
      <c r="M33" s="664"/>
      <c r="N33" s="664"/>
      <c r="O33" s="664"/>
      <c r="P33" s="664"/>
      <c r="Q33" s="664"/>
      <c r="R33" s="664"/>
      <c r="S33" s="664"/>
    </row>
    <row r="34" spans="1:19" s="80" customFormat="1" x14ac:dyDescent="0.25">
      <c r="A34" s="118"/>
      <c r="B34" s="118"/>
      <c r="C34" s="133"/>
      <c r="D34" s="133"/>
      <c r="E34" s="133"/>
      <c r="F34" s="133"/>
      <c r="G34" s="133"/>
      <c r="H34" s="674"/>
      <c r="I34" s="684"/>
      <c r="J34" s="133"/>
      <c r="K34" s="133"/>
      <c r="L34" s="133"/>
      <c r="M34" s="133"/>
      <c r="N34" s="133"/>
      <c r="O34" s="133"/>
      <c r="P34" s="133"/>
      <c r="Q34" s="133"/>
      <c r="R34" s="133"/>
      <c r="S34" s="133"/>
    </row>
    <row r="35" spans="1:19" s="80" customFormat="1" x14ac:dyDescent="0.25">
      <c r="A35" s="118"/>
      <c r="B35" s="118"/>
      <c r="C35" s="133"/>
      <c r="D35" s="133"/>
      <c r="E35" s="133"/>
      <c r="F35" s="133"/>
      <c r="G35" s="133"/>
      <c r="H35" s="674"/>
      <c r="I35" s="684"/>
      <c r="J35" s="133"/>
      <c r="K35" s="133"/>
      <c r="L35" s="133"/>
      <c r="M35" s="133"/>
      <c r="N35" s="133"/>
      <c r="O35" s="133"/>
      <c r="P35" s="133"/>
      <c r="Q35" s="133"/>
      <c r="R35" s="133"/>
      <c r="S35" s="133"/>
    </row>
    <row r="36" spans="1:19" s="80" customFormat="1" x14ac:dyDescent="0.25">
      <c r="A36" s="118"/>
      <c r="B36" s="118"/>
      <c r="C36" s="133"/>
      <c r="D36" s="133"/>
      <c r="E36" s="133"/>
      <c r="F36" s="133"/>
      <c r="G36" s="133"/>
      <c r="H36" s="674"/>
      <c r="I36" s="684"/>
      <c r="J36" s="133"/>
      <c r="K36" s="133"/>
      <c r="L36" s="133"/>
      <c r="M36" s="133"/>
      <c r="N36" s="133"/>
      <c r="O36" s="133"/>
      <c r="P36" s="133"/>
      <c r="Q36" s="133"/>
      <c r="R36" s="133"/>
      <c r="S36" s="133"/>
    </row>
    <row r="37" spans="1:19" s="80" customFormat="1" x14ac:dyDescent="0.25">
      <c r="A37" s="665" t="s">
        <v>51</v>
      </c>
      <c r="B37" s="665"/>
      <c r="C37" s="665"/>
      <c r="D37" s="83"/>
      <c r="E37" s="83"/>
      <c r="F37" s="83"/>
      <c r="G37" s="83"/>
      <c r="H37" s="669"/>
      <c r="I37" s="670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s="80" customFormat="1" x14ac:dyDescent="0.25">
      <c r="A38" s="671" t="s">
        <v>56</v>
      </c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</row>
    <row r="39" spans="1:19" s="80" customFormat="1" x14ac:dyDescent="0.25">
      <c r="A39" s="118"/>
      <c r="B39" s="118"/>
      <c r="C39" s="133"/>
      <c r="D39" s="133"/>
      <c r="E39" s="133"/>
      <c r="F39" s="133"/>
      <c r="G39" s="133"/>
      <c r="H39" s="674"/>
      <c r="I39" s="684"/>
      <c r="J39" s="133"/>
      <c r="K39" s="133"/>
      <c r="L39" s="133"/>
      <c r="M39" s="133"/>
      <c r="N39" s="133"/>
      <c r="O39" s="133"/>
      <c r="P39" s="133"/>
      <c r="Q39" s="133"/>
      <c r="R39" s="133"/>
      <c r="S39" s="133"/>
    </row>
    <row r="40" spans="1:19" s="80" customFormat="1" x14ac:dyDescent="0.25">
      <c r="A40" s="118"/>
      <c r="B40" s="118"/>
      <c r="C40" s="133"/>
      <c r="D40" s="133"/>
      <c r="E40" s="133"/>
      <c r="F40" s="133"/>
      <c r="G40" s="133"/>
      <c r="H40" s="674"/>
      <c r="I40" s="684"/>
      <c r="J40" s="133"/>
      <c r="K40" s="133"/>
      <c r="L40" s="133"/>
      <c r="M40" s="133"/>
      <c r="N40" s="133"/>
      <c r="O40" s="133"/>
      <c r="P40" s="133"/>
      <c r="Q40" s="133"/>
      <c r="R40" s="133"/>
      <c r="S40" s="133"/>
    </row>
    <row r="41" spans="1:19" s="80" customFormat="1" x14ac:dyDescent="0.25">
      <c r="A41" s="118"/>
      <c r="B41" s="118"/>
      <c r="C41" s="133"/>
      <c r="D41" s="133"/>
      <c r="E41" s="133"/>
      <c r="F41" s="133"/>
      <c r="G41" s="133"/>
      <c r="H41" s="674"/>
      <c r="I41" s="684"/>
      <c r="J41" s="133"/>
      <c r="K41" s="133"/>
      <c r="L41" s="133"/>
      <c r="M41" s="133"/>
      <c r="N41" s="133"/>
      <c r="O41" s="133"/>
      <c r="P41" s="133"/>
      <c r="Q41" s="133"/>
      <c r="R41" s="133"/>
      <c r="S41" s="133"/>
    </row>
    <row r="42" spans="1:19" s="80" customFormat="1" x14ac:dyDescent="0.25">
      <c r="A42" s="649" t="s">
        <v>51</v>
      </c>
      <c r="B42" s="650"/>
      <c r="C42" s="651"/>
      <c r="D42" s="83"/>
      <c r="E42" s="83"/>
      <c r="F42" s="83"/>
      <c r="G42" s="83"/>
      <c r="H42" s="669"/>
      <c r="I42" s="670"/>
      <c r="J42" s="83"/>
      <c r="K42" s="83"/>
      <c r="L42" s="83"/>
      <c r="M42" s="83"/>
      <c r="N42" s="83"/>
      <c r="O42" s="83"/>
      <c r="P42" s="83"/>
      <c r="Q42" s="83"/>
      <c r="R42" s="83"/>
      <c r="S42" s="83"/>
    </row>
    <row r="43" spans="1:19" s="80" customFormat="1" x14ac:dyDescent="0.25">
      <c r="A43" s="130"/>
      <c r="B43" s="131"/>
      <c r="C43" s="132"/>
      <c r="D43" s="83"/>
      <c r="E43" s="83"/>
      <c r="F43" s="83"/>
      <c r="G43" s="83"/>
      <c r="H43" s="669"/>
      <c r="I43" s="670"/>
      <c r="J43" s="83"/>
      <c r="K43" s="83"/>
      <c r="L43" s="83"/>
      <c r="M43" s="83"/>
      <c r="N43" s="83"/>
      <c r="O43" s="83"/>
      <c r="P43" s="83"/>
      <c r="Q43" s="83"/>
      <c r="R43" s="83"/>
      <c r="S43" s="83"/>
    </row>
    <row r="44" spans="1:19" s="80" customFormat="1" x14ac:dyDescent="0.25">
      <c r="A44" s="677" t="s">
        <v>53</v>
      </c>
      <c r="B44" s="677"/>
      <c r="C44" s="677"/>
      <c r="D44" s="84"/>
      <c r="E44" s="84"/>
      <c r="F44" s="84"/>
      <c r="G44" s="84"/>
      <c r="H44" s="678"/>
      <c r="I44" s="679"/>
      <c r="J44" s="84"/>
      <c r="K44" s="84"/>
      <c r="L44" s="84"/>
      <c r="M44" s="84"/>
      <c r="N44" s="84"/>
      <c r="O44" s="84"/>
      <c r="P44" s="84"/>
      <c r="Q44" s="84"/>
      <c r="R44" s="84"/>
      <c r="S44" s="84"/>
    </row>
    <row r="45" spans="1:19" s="80" customFormat="1" ht="15" customHeight="1" x14ac:dyDescent="0.25">
      <c r="A45" s="685" t="s">
        <v>124</v>
      </c>
      <c r="B45" s="686"/>
      <c r="C45" s="686"/>
      <c r="D45" s="686"/>
      <c r="E45" s="686"/>
      <c r="F45" s="686"/>
      <c r="G45" s="686"/>
      <c r="H45" s="686"/>
      <c r="I45" s="686"/>
      <c r="J45" s="686"/>
      <c r="K45" s="686"/>
      <c r="L45" s="686"/>
      <c r="M45" s="686"/>
      <c r="N45" s="686"/>
      <c r="O45" s="686"/>
      <c r="P45" s="686"/>
      <c r="Q45" s="686"/>
      <c r="R45" s="686"/>
      <c r="S45" s="687"/>
    </row>
    <row r="46" spans="1:19" ht="15.75" x14ac:dyDescent="0.25">
      <c r="H46" s="134"/>
    </row>
    <row r="48" spans="1:19" x14ac:dyDescent="0.25">
      <c r="F48" s="135"/>
    </row>
  </sheetData>
  <mergeCells count="76">
    <mergeCell ref="N22:O22"/>
    <mergeCell ref="H43:I43"/>
    <mergeCell ref="A44:C44"/>
    <mergeCell ref="H44:I44"/>
    <mergeCell ref="A45:S45"/>
    <mergeCell ref="A38:S38"/>
    <mergeCell ref="H39:I39"/>
    <mergeCell ref="H40:I40"/>
    <mergeCell ref="H41:I41"/>
    <mergeCell ref="A42:C42"/>
    <mergeCell ref="H42:I42"/>
    <mergeCell ref="A33:S33"/>
    <mergeCell ref="H34:I34"/>
    <mergeCell ref="H35:I35"/>
    <mergeCell ref="H36:I36"/>
    <mergeCell ref="A37:C37"/>
    <mergeCell ref="H37:I37"/>
    <mergeCell ref="A28:S28"/>
    <mergeCell ref="H29:I29"/>
    <mergeCell ref="H30:I30"/>
    <mergeCell ref="H31:I31"/>
    <mergeCell ref="A32:C32"/>
    <mergeCell ref="H32:I32"/>
    <mergeCell ref="H24:I24"/>
    <mergeCell ref="A25:C25"/>
    <mergeCell ref="H25:I25"/>
    <mergeCell ref="A26:S26"/>
    <mergeCell ref="A27:S27"/>
    <mergeCell ref="H23:I23"/>
    <mergeCell ref="D15:E15"/>
    <mergeCell ref="N15:O15"/>
    <mergeCell ref="D16:E16"/>
    <mergeCell ref="N16:O16"/>
    <mergeCell ref="D17:E17"/>
    <mergeCell ref="N17:O17"/>
    <mergeCell ref="D18:E18"/>
    <mergeCell ref="N18:O18"/>
    <mergeCell ref="D19:E19"/>
    <mergeCell ref="N19:O19"/>
    <mergeCell ref="D20:E20"/>
    <mergeCell ref="N20:O20"/>
    <mergeCell ref="D21:E21"/>
    <mergeCell ref="N21:O21"/>
    <mergeCell ref="D22:E22"/>
    <mergeCell ref="H13:I13"/>
    <mergeCell ref="A10:C10"/>
    <mergeCell ref="H10:I10"/>
    <mergeCell ref="A11:S11"/>
    <mergeCell ref="A14:S14"/>
    <mergeCell ref="A1:S1"/>
    <mergeCell ref="S2:S4"/>
    <mergeCell ref="F2:I2"/>
    <mergeCell ref="K3:K4"/>
    <mergeCell ref="L3:L4"/>
    <mergeCell ref="C2:C4"/>
    <mergeCell ref="D2:E2"/>
    <mergeCell ref="K2:L2"/>
    <mergeCell ref="D3:D4"/>
    <mergeCell ref="E3:E4"/>
    <mergeCell ref="M2:M4"/>
    <mergeCell ref="A6:S6"/>
    <mergeCell ref="A23:C23"/>
    <mergeCell ref="N2:R2"/>
    <mergeCell ref="N3:O3"/>
    <mergeCell ref="P3:P4"/>
    <mergeCell ref="Q3:Q4"/>
    <mergeCell ref="A2:A4"/>
    <mergeCell ref="B2:B4"/>
    <mergeCell ref="F3:F4"/>
    <mergeCell ref="J2:J4"/>
    <mergeCell ref="G3:G4"/>
    <mergeCell ref="H3:I4"/>
    <mergeCell ref="R3:R4"/>
    <mergeCell ref="H5:I5"/>
    <mergeCell ref="A7:S7"/>
    <mergeCell ref="A13:C13"/>
  </mergeCells>
  <pageMargins left="0.7" right="0.7" top="0.75" bottom="0.75" header="0.3" footer="0.3"/>
  <pageSetup paperSize="9" scale="51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93"/>
  <sheetViews>
    <sheetView topLeftCell="A4" zoomScale="70" zoomScaleNormal="70" zoomScaleSheetLayoutView="120" workbookViewId="0">
      <selection activeCell="C28" sqref="C28"/>
    </sheetView>
  </sheetViews>
  <sheetFormatPr defaultColWidth="8.85546875" defaultRowHeight="12.75" x14ac:dyDescent="0.2"/>
  <cols>
    <col min="1" max="1" width="5.28515625" customWidth="1"/>
    <col min="2" max="2" width="10" customWidth="1"/>
    <col min="3" max="3" width="41" style="159" customWidth="1"/>
    <col min="4" max="4" width="16.85546875" style="158" customWidth="1"/>
    <col min="5" max="6" width="8.42578125" customWidth="1"/>
    <col min="7" max="7" width="12.28515625" customWidth="1"/>
    <col min="8" max="9" width="9.85546875" customWidth="1"/>
    <col min="10" max="13" width="12" customWidth="1"/>
    <col min="14" max="14" width="15.140625" customWidth="1"/>
    <col min="15" max="15" width="11.7109375" customWidth="1"/>
    <col min="16" max="16" width="8.85546875" style="201"/>
    <col min="19" max="19" width="8.85546875" style="201"/>
  </cols>
  <sheetData>
    <row r="1" spans="1:19" ht="34.5" customHeight="1" x14ac:dyDescent="0.2">
      <c r="A1" s="689" t="s">
        <v>94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</row>
    <row r="2" spans="1:19" ht="14.25" customHeight="1" x14ac:dyDescent="0.2">
      <c r="A2" s="691" t="s">
        <v>0</v>
      </c>
      <c r="B2" s="653" t="s">
        <v>25</v>
      </c>
      <c r="C2" s="653" t="s">
        <v>73</v>
      </c>
      <c r="D2" s="692" t="s">
        <v>62</v>
      </c>
      <c r="E2" s="688" t="s">
        <v>1</v>
      </c>
      <c r="F2" s="688"/>
      <c r="G2" s="688"/>
      <c r="H2" s="688"/>
      <c r="I2" s="688"/>
      <c r="J2" s="688"/>
      <c r="K2" s="688"/>
      <c r="L2" s="688"/>
      <c r="M2" s="688"/>
      <c r="N2" s="653" t="s">
        <v>78</v>
      </c>
      <c r="O2" s="653"/>
    </row>
    <row r="3" spans="1:19" ht="12.75" customHeight="1" x14ac:dyDescent="0.2">
      <c r="A3" s="691"/>
      <c r="B3" s="653"/>
      <c r="C3" s="653"/>
      <c r="D3" s="692"/>
      <c r="E3" s="688" t="s">
        <v>2</v>
      </c>
      <c r="F3" s="688"/>
      <c r="G3" s="688"/>
      <c r="H3" s="688"/>
      <c r="I3" s="688"/>
      <c r="J3" s="688" t="s">
        <v>63</v>
      </c>
      <c r="K3" s="688"/>
      <c r="L3" s="688" t="s">
        <v>69</v>
      </c>
      <c r="M3" s="688"/>
      <c r="N3" s="653"/>
      <c r="O3" s="653"/>
    </row>
    <row r="4" spans="1:19" ht="12.75" customHeight="1" x14ac:dyDescent="0.2">
      <c r="A4" s="691"/>
      <c r="B4" s="653"/>
      <c r="C4" s="653"/>
      <c r="D4" s="692"/>
      <c r="E4" s="688" t="s">
        <v>64</v>
      </c>
      <c r="F4" s="688"/>
      <c r="G4" s="688"/>
      <c r="H4" s="688" t="s">
        <v>3</v>
      </c>
      <c r="I4" s="688"/>
      <c r="J4" s="688"/>
      <c r="K4" s="688"/>
      <c r="L4" s="688"/>
      <c r="M4" s="688"/>
      <c r="N4" s="653"/>
      <c r="O4" s="653"/>
    </row>
    <row r="5" spans="1:19" ht="20.25" customHeight="1" x14ac:dyDescent="0.2">
      <c r="A5" s="691"/>
      <c r="B5" s="653"/>
      <c r="C5" s="653"/>
      <c r="D5" s="692"/>
      <c r="E5" s="688"/>
      <c r="F5" s="688"/>
      <c r="G5" s="688"/>
      <c r="H5" s="688"/>
      <c r="I5" s="688"/>
      <c r="J5" s="688"/>
      <c r="K5" s="688"/>
      <c r="L5" s="688"/>
      <c r="M5" s="688"/>
      <c r="N5" s="653"/>
      <c r="O5" s="653"/>
    </row>
    <row r="6" spans="1:19" ht="29.25" customHeight="1" x14ac:dyDescent="0.2">
      <c r="A6" s="691"/>
      <c r="B6" s="653"/>
      <c r="C6" s="653"/>
      <c r="D6" s="692"/>
      <c r="E6" s="175" t="s">
        <v>5</v>
      </c>
      <c r="F6" s="175" t="s">
        <v>7</v>
      </c>
      <c r="G6" s="175" t="s">
        <v>67</v>
      </c>
      <c r="H6" s="175" t="s">
        <v>5</v>
      </c>
      <c r="I6" s="175" t="s">
        <v>7</v>
      </c>
      <c r="J6" s="175" t="s">
        <v>5</v>
      </c>
      <c r="K6" s="175" t="s">
        <v>7</v>
      </c>
      <c r="L6" s="175" t="s">
        <v>5</v>
      </c>
      <c r="M6" s="175" t="s">
        <v>7</v>
      </c>
      <c r="N6" s="175" t="s">
        <v>65</v>
      </c>
      <c r="O6" s="174" t="s">
        <v>66</v>
      </c>
    </row>
    <row r="7" spans="1:19" s="87" customFormat="1" ht="15" x14ac:dyDescent="0.2">
      <c r="A7" s="176">
        <v>1</v>
      </c>
      <c r="B7" s="176">
        <v>2</v>
      </c>
      <c r="C7" s="174">
        <v>3</v>
      </c>
      <c r="D7" s="160">
        <v>4</v>
      </c>
      <c r="E7" s="176">
        <v>5</v>
      </c>
      <c r="F7" s="176">
        <v>6</v>
      </c>
      <c r="G7" s="174">
        <v>7</v>
      </c>
      <c r="H7" s="174">
        <v>8</v>
      </c>
      <c r="I7" s="176">
        <v>9</v>
      </c>
      <c r="J7" s="176">
        <v>10</v>
      </c>
      <c r="K7" s="174">
        <v>11</v>
      </c>
      <c r="L7" s="174">
        <v>12</v>
      </c>
      <c r="M7" s="176">
        <v>13</v>
      </c>
      <c r="N7" s="176">
        <v>14</v>
      </c>
      <c r="O7" s="174">
        <v>15</v>
      </c>
      <c r="P7" s="212"/>
      <c r="S7" s="212"/>
    </row>
    <row r="8" spans="1:19" s="212" customFormat="1" ht="30" x14ac:dyDescent="0.2">
      <c r="A8" s="139">
        <v>1</v>
      </c>
      <c r="B8" s="341">
        <v>1948113</v>
      </c>
      <c r="C8" s="188" t="s">
        <v>224</v>
      </c>
      <c r="D8" s="156">
        <v>272.01</v>
      </c>
      <c r="E8" s="185"/>
      <c r="F8" s="185"/>
      <c r="G8" s="139"/>
      <c r="H8" s="179">
        <v>260</v>
      </c>
      <c r="I8" s="215">
        <f t="shared" ref="I8:I52" si="0">H8*100/D8</f>
        <v>95.58472114995773</v>
      </c>
      <c r="J8" s="179">
        <v>260</v>
      </c>
      <c r="K8" s="215">
        <f t="shared" ref="K8:K52" si="1">J8*100/D8</f>
        <v>95.58472114995773</v>
      </c>
      <c r="L8" s="179">
        <v>260</v>
      </c>
      <c r="M8" s="215">
        <f t="shared" ref="M8:M52" si="2">L8*100/D8</f>
        <v>95.58472114995773</v>
      </c>
      <c r="N8" s="185" t="s">
        <v>654</v>
      </c>
      <c r="O8" s="139">
        <v>2021</v>
      </c>
      <c r="P8" s="213"/>
      <c r="S8" s="213"/>
    </row>
    <row r="9" spans="1:19" s="212" customFormat="1" ht="30" x14ac:dyDescent="0.2">
      <c r="A9" s="139">
        <v>2</v>
      </c>
      <c r="B9" s="341">
        <v>1948119</v>
      </c>
      <c r="C9" s="188" t="s">
        <v>226</v>
      </c>
      <c r="D9" s="156">
        <v>10</v>
      </c>
      <c r="E9" s="185"/>
      <c r="F9" s="185"/>
      <c r="G9" s="139"/>
      <c r="H9" s="179">
        <v>1.5</v>
      </c>
      <c r="I9" s="215">
        <f t="shared" si="0"/>
        <v>15</v>
      </c>
      <c r="J9" s="179">
        <v>1.5</v>
      </c>
      <c r="K9" s="215">
        <f t="shared" si="1"/>
        <v>15</v>
      </c>
      <c r="L9" s="179">
        <v>1.5</v>
      </c>
      <c r="M9" s="215">
        <f t="shared" si="2"/>
        <v>15</v>
      </c>
      <c r="N9" s="185" t="s">
        <v>654</v>
      </c>
      <c r="O9" s="139">
        <v>2021</v>
      </c>
      <c r="P9" s="213"/>
      <c r="S9" s="213"/>
    </row>
    <row r="10" spans="1:19" s="212" customFormat="1" ht="30" x14ac:dyDescent="0.2">
      <c r="A10" s="139">
        <v>3</v>
      </c>
      <c r="B10" s="341">
        <v>1948159</v>
      </c>
      <c r="C10" s="188" t="s">
        <v>227</v>
      </c>
      <c r="D10" s="156">
        <v>11</v>
      </c>
      <c r="E10" s="185"/>
      <c r="F10" s="185"/>
      <c r="G10" s="139"/>
      <c r="H10" s="179">
        <v>2.2999999999999998</v>
      </c>
      <c r="I10" s="215">
        <f t="shared" si="0"/>
        <v>20.909090909090907</v>
      </c>
      <c r="J10" s="179">
        <v>2.2999999999999998</v>
      </c>
      <c r="K10" s="215">
        <f t="shared" si="1"/>
        <v>20.909090909090907</v>
      </c>
      <c r="L10" s="179">
        <v>2.2999999999999998</v>
      </c>
      <c r="M10" s="215">
        <f t="shared" si="2"/>
        <v>20.909090909090907</v>
      </c>
      <c r="N10" s="185" t="s">
        <v>654</v>
      </c>
      <c r="O10" s="139">
        <v>2021</v>
      </c>
      <c r="P10" s="213"/>
      <c r="S10" s="213"/>
    </row>
    <row r="11" spans="1:19" s="212" customFormat="1" ht="30" x14ac:dyDescent="0.2">
      <c r="A11" s="139">
        <v>4</v>
      </c>
      <c r="B11" s="341">
        <v>1948129</v>
      </c>
      <c r="C11" s="188" t="s">
        <v>229</v>
      </c>
      <c r="D11" s="156">
        <v>19.219000000000001</v>
      </c>
      <c r="E11" s="185"/>
      <c r="F11" s="185"/>
      <c r="G11" s="139"/>
      <c r="H11" s="179">
        <v>19.219000000000001</v>
      </c>
      <c r="I11" s="215">
        <f t="shared" si="0"/>
        <v>100</v>
      </c>
      <c r="J11" s="179">
        <v>19.219000000000001</v>
      </c>
      <c r="K11" s="215">
        <f t="shared" si="1"/>
        <v>100</v>
      </c>
      <c r="L11" s="179">
        <v>19.219000000000001</v>
      </c>
      <c r="M11" s="215">
        <f t="shared" si="2"/>
        <v>100</v>
      </c>
      <c r="N11" s="185" t="s">
        <v>654</v>
      </c>
      <c r="O11" s="139">
        <v>2021</v>
      </c>
      <c r="P11" s="213"/>
      <c r="S11" s="213"/>
    </row>
    <row r="12" spans="1:19" s="212" customFormat="1" ht="14.25" customHeight="1" x14ac:dyDescent="0.2">
      <c r="A12" s="139">
        <v>5</v>
      </c>
      <c r="B12" s="341">
        <v>1948116</v>
      </c>
      <c r="C12" s="188" t="s">
        <v>230</v>
      </c>
      <c r="D12" s="156">
        <v>19.986000000000001</v>
      </c>
      <c r="E12" s="185"/>
      <c r="F12" s="185"/>
      <c r="G12" s="139"/>
      <c r="H12" s="179">
        <v>15.1</v>
      </c>
      <c r="I12" s="215">
        <f t="shared" si="0"/>
        <v>75.552887020914639</v>
      </c>
      <c r="J12" s="179">
        <v>15.1</v>
      </c>
      <c r="K12" s="215">
        <f t="shared" si="1"/>
        <v>75.552887020914639</v>
      </c>
      <c r="L12" s="179">
        <v>15.1</v>
      </c>
      <c r="M12" s="215">
        <f t="shared" si="2"/>
        <v>75.552887020914639</v>
      </c>
      <c r="N12" s="185" t="s">
        <v>654</v>
      </c>
      <c r="O12" s="139">
        <v>2021</v>
      </c>
      <c r="P12" s="213"/>
      <c r="S12" s="213"/>
    </row>
    <row r="13" spans="1:19" s="212" customFormat="1" ht="15" x14ac:dyDescent="0.2">
      <c r="A13" s="139">
        <v>6</v>
      </c>
      <c r="B13" s="341">
        <v>1948171</v>
      </c>
      <c r="C13" s="188" t="s">
        <v>231</v>
      </c>
      <c r="D13" s="156">
        <v>5.032</v>
      </c>
      <c r="E13" s="185"/>
      <c r="F13" s="185"/>
      <c r="G13" s="139"/>
      <c r="H13" s="179">
        <v>2.1</v>
      </c>
      <c r="I13" s="215">
        <f t="shared" si="0"/>
        <v>41.732909379968206</v>
      </c>
      <c r="J13" s="179">
        <v>2.1</v>
      </c>
      <c r="K13" s="215">
        <f t="shared" si="1"/>
        <v>41.732909379968206</v>
      </c>
      <c r="L13" s="179">
        <v>5.032</v>
      </c>
      <c r="M13" s="215">
        <f t="shared" si="2"/>
        <v>100</v>
      </c>
      <c r="N13" s="185" t="s">
        <v>654</v>
      </c>
      <c r="O13" s="139">
        <v>2020</v>
      </c>
      <c r="P13" s="213"/>
      <c r="S13" s="213"/>
    </row>
    <row r="14" spans="1:19" s="212" customFormat="1" ht="15" x14ac:dyDescent="0.2">
      <c r="A14" s="139">
        <v>7</v>
      </c>
      <c r="B14" s="341">
        <v>1948112</v>
      </c>
      <c r="C14" s="188" t="s">
        <v>232</v>
      </c>
      <c r="D14" s="156">
        <v>3.8</v>
      </c>
      <c r="E14" s="185"/>
      <c r="F14" s="185"/>
      <c r="G14" s="139"/>
      <c r="H14" s="179">
        <v>0</v>
      </c>
      <c r="I14" s="215">
        <f t="shared" si="0"/>
        <v>0</v>
      </c>
      <c r="J14" s="179">
        <v>0</v>
      </c>
      <c r="K14" s="215">
        <f t="shared" si="1"/>
        <v>0</v>
      </c>
      <c r="L14" s="179">
        <v>0</v>
      </c>
      <c r="M14" s="215">
        <f t="shared" si="2"/>
        <v>0</v>
      </c>
      <c r="N14" s="185" t="s">
        <v>654</v>
      </c>
      <c r="O14" s="139">
        <v>2024</v>
      </c>
      <c r="P14" s="213"/>
      <c r="S14" s="213"/>
    </row>
    <row r="15" spans="1:19" s="212" customFormat="1" ht="30" x14ac:dyDescent="0.2">
      <c r="A15" s="139">
        <v>8</v>
      </c>
      <c r="B15" s="341">
        <v>1948141</v>
      </c>
      <c r="C15" s="188" t="s">
        <v>233</v>
      </c>
      <c r="D15" s="156">
        <v>15.722</v>
      </c>
      <c r="E15" s="185"/>
      <c r="F15" s="185"/>
      <c r="G15" s="139"/>
      <c r="H15" s="179">
        <v>15.722</v>
      </c>
      <c r="I15" s="215">
        <f t="shared" si="0"/>
        <v>100</v>
      </c>
      <c r="J15" s="179">
        <v>15.722</v>
      </c>
      <c r="K15" s="215">
        <f t="shared" si="1"/>
        <v>100</v>
      </c>
      <c r="L15" s="179">
        <v>15.722</v>
      </c>
      <c r="M15" s="215">
        <f t="shared" si="2"/>
        <v>100</v>
      </c>
      <c r="N15" s="185" t="s">
        <v>654</v>
      </c>
      <c r="O15" s="139">
        <v>2024</v>
      </c>
      <c r="P15" s="213"/>
      <c r="S15" s="213"/>
    </row>
    <row r="16" spans="1:19" s="212" customFormat="1" ht="15" x14ac:dyDescent="0.2">
      <c r="A16" s="139">
        <v>9</v>
      </c>
      <c r="B16" s="341">
        <v>1948140</v>
      </c>
      <c r="C16" s="188" t="s">
        <v>234</v>
      </c>
      <c r="D16" s="156">
        <v>1.1000000000000001</v>
      </c>
      <c r="E16" s="185"/>
      <c r="F16" s="185"/>
      <c r="G16" s="139"/>
      <c r="H16" s="179">
        <v>1.1000000000000001</v>
      </c>
      <c r="I16" s="215">
        <f t="shared" si="0"/>
        <v>100</v>
      </c>
      <c r="J16" s="179">
        <v>1.1000000000000001</v>
      </c>
      <c r="K16" s="215">
        <f t="shared" si="1"/>
        <v>100</v>
      </c>
      <c r="L16" s="179">
        <v>1.1000000000000001</v>
      </c>
      <c r="M16" s="215">
        <f t="shared" si="2"/>
        <v>100</v>
      </c>
      <c r="N16" s="185" t="s">
        <v>654</v>
      </c>
      <c r="O16" s="139">
        <v>2020</v>
      </c>
      <c r="P16" s="213"/>
      <c r="S16" s="213"/>
    </row>
    <row r="17" spans="1:19" s="212" customFormat="1" ht="30" x14ac:dyDescent="0.2">
      <c r="A17" s="139">
        <v>10</v>
      </c>
      <c r="B17" s="341">
        <v>1948144</v>
      </c>
      <c r="C17" s="188" t="s">
        <v>235</v>
      </c>
      <c r="D17" s="156">
        <v>19.04</v>
      </c>
      <c r="E17" s="185"/>
      <c r="F17" s="185"/>
      <c r="G17" s="139"/>
      <c r="H17" s="179">
        <v>15</v>
      </c>
      <c r="I17" s="215">
        <f t="shared" si="0"/>
        <v>78.781512605042025</v>
      </c>
      <c r="J17" s="179">
        <v>15</v>
      </c>
      <c r="K17" s="215">
        <f t="shared" si="1"/>
        <v>78.781512605042025</v>
      </c>
      <c r="L17" s="179">
        <v>15</v>
      </c>
      <c r="M17" s="215">
        <f t="shared" si="2"/>
        <v>78.781512605042025</v>
      </c>
      <c r="N17" s="185" t="s">
        <v>654</v>
      </c>
      <c r="O17" s="139">
        <v>2021</v>
      </c>
      <c r="P17" s="213"/>
      <c r="S17" s="213"/>
    </row>
    <row r="18" spans="1:19" s="212" customFormat="1" ht="15" x14ac:dyDescent="0.2">
      <c r="A18" s="139">
        <v>11</v>
      </c>
      <c r="B18" s="341">
        <v>1948150</v>
      </c>
      <c r="C18" s="188" t="s">
        <v>237</v>
      </c>
      <c r="D18" s="156">
        <v>1</v>
      </c>
      <c r="E18" s="185"/>
      <c r="F18" s="185"/>
      <c r="G18" s="139"/>
      <c r="H18" s="179">
        <v>1</v>
      </c>
      <c r="I18" s="215">
        <f t="shared" si="0"/>
        <v>100</v>
      </c>
      <c r="J18" s="179">
        <v>1</v>
      </c>
      <c r="K18" s="215">
        <f t="shared" si="1"/>
        <v>100</v>
      </c>
      <c r="L18" s="179">
        <v>1</v>
      </c>
      <c r="M18" s="215">
        <f t="shared" si="2"/>
        <v>100</v>
      </c>
      <c r="N18" s="185" t="s">
        <v>654</v>
      </c>
      <c r="O18" s="139">
        <v>2024</v>
      </c>
      <c r="P18" s="213"/>
      <c r="S18" s="213"/>
    </row>
    <row r="19" spans="1:19" s="212" customFormat="1" ht="14.25" customHeight="1" x14ac:dyDescent="0.2">
      <c r="A19" s="139">
        <v>12</v>
      </c>
      <c r="B19" s="341">
        <v>1948121</v>
      </c>
      <c r="C19" s="188" t="s">
        <v>238</v>
      </c>
      <c r="D19" s="156">
        <v>0.85</v>
      </c>
      <c r="E19" s="185"/>
      <c r="F19" s="185"/>
      <c r="G19" s="139"/>
      <c r="H19" s="179">
        <v>0.1</v>
      </c>
      <c r="I19" s="215">
        <f t="shared" si="0"/>
        <v>11.764705882352942</v>
      </c>
      <c r="J19" s="179">
        <v>0.1</v>
      </c>
      <c r="K19" s="215">
        <f t="shared" si="1"/>
        <v>11.764705882352942</v>
      </c>
      <c r="L19" s="179">
        <v>0.1</v>
      </c>
      <c r="M19" s="215">
        <f t="shared" si="2"/>
        <v>11.764705882352942</v>
      </c>
      <c r="N19" s="185" t="s">
        <v>654</v>
      </c>
      <c r="O19" s="139">
        <v>2024</v>
      </c>
      <c r="P19" s="213"/>
      <c r="S19" s="213"/>
    </row>
    <row r="20" spans="1:19" s="212" customFormat="1" ht="15" x14ac:dyDescent="0.2">
      <c r="A20" s="139">
        <v>13</v>
      </c>
      <c r="B20" s="341">
        <v>1948151</v>
      </c>
      <c r="C20" s="188" t="s">
        <v>239</v>
      </c>
      <c r="D20" s="156">
        <v>0.7</v>
      </c>
      <c r="E20" s="185"/>
      <c r="F20" s="185"/>
      <c r="G20" s="139"/>
      <c r="H20" s="179">
        <v>0.1</v>
      </c>
      <c r="I20" s="215">
        <f t="shared" si="0"/>
        <v>14.285714285714286</v>
      </c>
      <c r="J20" s="179">
        <v>0.1</v>
      </c>
      <c r="K20" s="215">
        <f t="shared" si="1"/>
        <v>14.285714285714286</v>
      </c>
      <c r="L20" s="179">
        <v>0.1</v>
      </c>
      <c r="M20" s="215">
        <f t="shared" si="2"/>
        <v>14.285714285714286</v>
      </c>
      <c r="N20" s="185" t="s">
        <v>654</v>
      </c>
      <c r="O20" s="139">
        <v>2024</v>
      </c>
      <c r="P20" s="213"/>
      <c r="S20" s="213"/>
    </row>
    <row r="21" spans="1:19" s="212" customFormat="1" ht="15" customHeight="1" x14ac:dyDescent="0.2">
      <c r="A21" s="139">
        <v>14</v>
      </c>
      <c r="B21" s="341">
        <v>1948155</v>
      </c>
      <c r="C21" s="188" t="s">
        <v>240</v>
      </c>
      <c r="D21" s="156">
        <v>30</v>
      </c>
      <c r="E21" s="185"/>
      <c r="F21" s="185"/>
      <c r="G21" s="139"/>
      <c r="H21" s="179">
        <v>10.5</v>
      </c>
      <c r="I21" s="215">
        <f t="shared" si="0"/>
        <v>35</v>
      </c>
      <c r="J21" s="179">
        <v>10.5</v>
      </c>
      <c r="K21" s="215">
        <f t="shared" si="1"/>
        <v>35</v>
      </c>
      <c r="L21" s="179">
        <v>10.5</v>
      </c>
      <c r="M21" s="215">
        <f t="shared" si="2"/>
        <v>35</v>
      </c>
      <c r="N21" s="185" t="s">
        <v>654</v>
      </c>
      <c r="O21" s="139">
        <v>2024</v>
      </c>
      <c r="P21" s="213"/>
      <c r="S21" s="213"/>
    </row>
    <row r="22" spans="1:19" s="212" customFormat="1" ht="30" x14ac:dyDescent="0.2">
      <c r="A22" s="139">
        <v>15</v>
      </c>
      <c r="B22" s="341">
        <v>1948156</v>
      </c>
      <c r="C22" s="188" t="s">
        <v>241</v>
      </c>
      <c r="D22" s="156">
        <v>17.652000000000001</v>
      </c>
      <c r="E22" s="185"/>
      <c r="F22" s="185"/>
      <c r="G22" s="139"/>
      <c r="H22" s="179">
        <v>17.652000000000001</v>
      </c>
      <c r="I22" s="215">
        <f t="shared" si="0"/>
        <v>100</v>
      </c>
      <c r="J22" s="179">
        <v>17.652000000000001</v>
      </c>
      <c r="K22" s="215">
        <f t="shared" si="1"/>
        <v>100</v>
      </c>
      <c r="L22" s="179">
        <v>17.652000000000001</v>
      </c>
      <c r="M22" s="215">
        <f t="shared" si="2"/>
        <v>100</v>
      </c>
      <c r="N22" s="185" t="s">
        <v>654</v>
      </c>
      <c r="O22" s="139">
        <v>2020</v>
      </c>
      <c r="P22" s="213"/>
      <c r="S22" s="213"/>
    </row>
    <row r="23" spans="1:19" s="212" customFormat="1" ht="15" customHeight="1" x14ac:dyDescent="0.2">
      <c r="A23" s="139">
        <v>16</v>
      </c>
      <c r="B23" s="341">
        <v>1948087</v>
      </c>
      <c r="C23" s="188" t="s">
        <v>242</v>
      </c>
      <c r="D23" s="156">
        <v>9.1999999999999993</v>
      </c>
      <c r="E23" s="185"/>
      <c r="F23" s="185"/>
      <c r="G23" s="139"/>
      <c r="H23" s="179">
        <v>1.4</v>
      </c>
      <c r="I23" s="215">
        <f t="shared" si="0"/>
        <v>15.217391304347828</v>
      </c>
      <c r="J23" s="179">
        <v>1.4</v>
      </c>
      <c r="K23" s="215">
        <f t="shared" si="1"/>
        <v>15.217391304347828</v>
      </c>
      <c r="L23" s="179">
        <v>1.4</v>
      </c>
      <c r="M23" s="215">
        <f t="shared" si="2"/>
        <v>15.217391304347828</v>
      </c>
      <c r="N23" s="185" t="s">
        <v>654</v>
      </c>
      <c r="O23" s="139">
        <v>2023</v>
      </c>
      <c r="P23" s="213"/>
      <c r="S23" s="213"/>
    </row>
    <row r="24" spans="1:19" s="212" customFormat="1" ht="15" customHeight="1" x14ac:dyDescent="0.2">
      <c r="A24" s="139">
        <v>17</v>
      </c>
      <c r="B24" s="154" t="s">
        <v>243</v>
      </c>
      <c r="C24" s="188" t="s">
        <v>244</v>
      </c>
      <c r="D24" s="156">
        <v>1.3</v>
      </c>
      <c r="E24" s="185"/>
      <c r="F24" s="185"/>
      <c r="G24" s="139"/>
      <c r="H24" s="179">
        <v>1.3</v>
      </c>
      <c r="I24" s="215">
        <f t="shared" si="0"/>
        <v>100</v>
      </c>
      <c r="J24" s="179">
        <v>1.3</v>
      </c>
      <c r="K24" s="215">
        <f t="shared" si="1"/>
        <v>100</v>
      </c>
      <c r="L24" s="179">
        <v>1.3</v>
      </c>
      <c r="M24" s="215">
        <f t="shared" si="2"/>
        <v>100</v>
      </c>
      <c r="N24" s="185" t="s">
        <v>654</v>
      </c>
      <c r="O24" s="139">
        <v>2022</v>
      </c>
      <c r="P24" s="213"/>
      <c r="S24" s="213"/>
    </row>
    <row r="25" spans="1:19" s="212" customFormat="1" ht="14.25" customHeight="1" x14ac:dyDescent="0.2">
      <c r="A25" s="139">
        <v>18</v>
      </c>
      <c r="B25" s="154" t="s">
        <v>245</v>
      </c>
      <c r="C25" s="188" t="s">
        <v>246</v>
      </c>
      <c r="D25" s="156">
        <v>3.51</v>
      </c>
      <c r="E25" s="185"/>
      <c r="F25" s="185"/>
      <c r="G25" s="139"/>
      <c r="H25" s="179">
        <v>3.5</v>
      </c>
      <c r="I25" s="215">
        <f t="shared" si="0"/>
        <v>99.715099715099726</v>
      </c>
      <c r="J25" s="179">
        <v>3.5</v>
      </c>
      <c r="K25" s="215">
        <f t="shared" si="1"/>
        <v>99.715099715099726</v>
      </c>
      <c r="L25" s="179">
        <v>3.5</v>
      </c>
      <c r="M25" s="215">
        <f t="shared" si="2"/>
        <v>99.715099715099726</v>
      </c>
      <c r="N25" s="185" t="s">
        <v>654</v>
      </c>
      <c r="O25" s="139">
        <v>2020</v>
      </c>
      <c r="P25" s="213"/>
      <c r="S25" s="213"/>
    </row>
    <row r="26" spans="1:19" s="212" customFormat="1" ht="30" x14ac:dyDescent="0.2">
      <c r="A26" s="139">
        <v>19</v>
      </c>
      <c r="B26" s="154" t="s">
        <v>247</v>
      </c>
      <c r="C26" s="188" t="s">
        <v>248</v>
      </c>
      <c r="D26" s="156">
        <v>0.7</v>
      </c>
      <c r="E26" s="185"/>
      <c r="F26" s="185"/>
      <c r="G26" s="139"/>
      <c r="H26" s="179">
        <v>0.2</v>
      </c>
      <c r="I26" s="215">
        <f t="shared" si="0"/>
        <v>28.571428571428573</v>
      </c>
      <c r="J26" s="179">
        <v>0.2</v>
      </c>
      <c r="K26" s="215">
        <f t="shared" si="1"/>
        <v>28.571428571428573</v>
      </c>
      <c r="L26" s="179">
        <v>0.2</v>
      </c>
      <c r="M26" s="215">
        <f t="shared" si="2"/>
        <v>28.571428571428573</v>
      </c>
      <c r="N26" s="185" t="s">
        <v>654</v>
      </c>
      <c r="O26" s="139">
        <v>2022</v>
      </c>
      <c r="P26" s="213"/>
      <c r="S26" s="213"/>
    </row>
    <row r="27" spans="1:19" s="212" customFormat="1" ht="30" x14ac:dyDescent="0.2">
      <c r="A27" s="139">
        <v>20</v>
      </c>
      <c r="B27" s="154" t="s">
        <v>251</v>
      </c>
      <c r="C27" s="188" t="s">
        <v>252</v>
      </c>
      <c r="D27" s="156">
        <v>12.6</v>
      </c>
      <c r="E27" s="185"/>
      <c r="F27" s="185"/>
      <c r="G27" s="139"/>
      <c r="H27" s="179">
        <v>0</v>
      </c>
      <c r="I27" s="215">
        <f t="shared" si="0"/>
        <v>0</v>
      </c>
      <c r="J27" s="179">
        <v>0</v>
      </c>
      <c r="K27" s="215">
        <f t="shared" si="1"/>
        <v>0</v>
      </c>
      <c r="L27" s="179">
        <v>0</v>
      </c>
      <c r="M27" s="215">
        <f t="shared" si="2"/>
        <v>0</v>
      </c>
      <c r="N27" s="185" t="s">
        <v>654</v>
      </c>
      <c r="O27" s="139">
        <v>2020</v>
      </c>
      <c r="P27" s="213"/>
      <c r="S27" s="213"/>
    </row>
    <row r="28" spans="1:19" s="212" customFormat="1" ht="15.75" customHeight="1" x14ac:dyDescent="0.2">
      <c r="A28" s="139">
        <v>21</v>
      </c>
      <c r="B28" s="154" t="s">
        <v>253</v>
      </c>
      <c r="C28" s="188" t="s">
        <v>351</v>
      </c>
      <c r="D28" s="156">
        <v>5</v>
      </c>
      <c r="E28" s="185"/>
      <c r="F28" s="185"/>
      <c r="G28" s="139"/>
      <c r="H28" s="179">
        <v>0</v>
      </c>
      <c r="I28" s="215">
        <f t="shared" si="0"/>
        <v>0</v>
      </c>
      <c r="J28" s="179">
        <v>0</v>
      </c>
      <c r="K28" s="215">
        <f t="shared" si="1"/>
        <v>0</v>
      </c>
      <c r="L28" s="179">
        <v>0</v>
      </c>
      <c r="M28" s="215">
        <f t="shared" si="2"/>
        <v>0</v>
      </c>
      <c r="N28" s="185" t="s">
        <v>654</v>
      </c>
      <c r="O28" s="139">
        <v>2021</v>
      </c>
      <c r="P28" s="213"/>
      <c r="S28" s="213"/>
    </row>
    <row r="29" spans="1:19" s="212" customFormat="1" ht="14.25" customHeight="1" x14ac:dyDescent="0.2">
      <c r="A29" s="139">
        <v>22</v>
      </c>
      <c r="B29" s="154">
        <v>1948111</v>
      </c>
      <c r="C29" s="188" t="s">
        <v>254</v>
      </c>
      <c r="D29" s="156">
        <v>2</v>
      </c>
      <c r="E29" s="185"/>
      <c r="F29" s="185"/>
      <c r="G29" s="139"/>
      <c r="H29" s="179">
        <v>0</v>
      </c>
      <c r="I29" s="215">
        <f t="shared" si="0"/>
        <v>0</v>
      </c>
      <c r="J29" s="179">
        <v>0</v>
      </c>
      <c r="K29" s="215">
        <f t="shared" si="1"/>
        <v>0</v>
      </c>
      <c r="L29" s="179">
        <v>0</v>
      </c>
      <c r="M29" s="215">
        <f t="shared" si="2"/>
        <v>0</v>
      </c>
      <c r="N29" s="185" t="s">
        <v>654</v>
      </c>
      <c r="O29" s="139">
        <v>2020</v>
      </c>
      <c r="P29" s="213"/>
      <c r="S29" s="213"/>
    </row>
    <row r="30" spans="1:19" s="212" customFormat="1" ht="30" x14ac:dyDescent="0.2">
      <c r="A30" s="139">
        <v>23</v>
      </c>
      <c r="B30" s="154" t="s">
        <v>255</v>
      </c>
      <c r="C30" s="188" t="s">
        <v>256</v>
      </c>
      <c r="D30" s="156">
        <v>3</v>
      </c>
      <c r="E30" s="185"/>
      <c r="F30" s="185"/>
      <c r="G30" s="139"/>
      <c r="H30" s="179">
        <v>0.5</v>
      </c>
      <c r="I30" s="215">
        <f t="shared" si="0"/>
        <v>16.666666666666668</v>
      </c>
      <c r="J30" s="179">
        <v>0.5</v>
      </c>
      <c r="K30" s="215">
        <f t="shared" si="1"/>
        <v>16.666666666666668</v>
      </c>
      <c r="L30" s="179">
        <v>0.5</v>
      </c>
      <c r="M30" s="215">
        <f t="shared" si="2"/>
        <v>16.666666666666668</v>
      </c>
      <c r="N30" s="185" t="s">
        <v>654</v>
      </c>
      <c r="O30" s="139">
        <v>2023</v>
      </c>
      <c r="P30" s="213"/>
      <c r="S30" s="213"/>
    </row>
    <row r="31" spans="1:19" s="212" customFormat="1" ht="15" x14ac:dyDescent="0.2">
      <c r="A31" s="139">
        <v>24</v>
      </c>
      <c r="B31" s="154">
        <v>1948106</v>
      </c>
      <c r="C31" s="188" t="s">
        <v>257</v>
      </c>
      <c r="D31" s="156">
        <v>26.11</v>
      </c>
      <c r="E31" s="185"/>
      <c r="F31" s="185"/>
      <c r="G31" s="139"/>
      <c r="H31" s="179">
        <v>24</v>
      </c>
      <c r="I31" s="215">
        <f t="shared" si="0"/>
        <v>91.918805055534278</v>
      </c>
      <c r="J31" s="179">
        <v>24</v>
      </c>
      <c r="K31" s="215">
        <f t="shared" si="1"/>
        <v>91.918805055534278</v>
      </c>
      <c r="L31" s="179">
        <v>24</v>
      </c>
      <c r="M31" s="215">
        <f t="shared" si="2"/>
        <v>91.918805055534278</v>
      </c>
      <c r="N31" s="185" t="s">
        <v>654</v>
      </c>
      <c r="O31" s="139">
        <v>2020</v>
      </c>
      <c r="P31" s="213"/>
      <c r="S31" s="213"/>
    </row>
    <row r="32" spans="1:19" s="212" customFormat="1" ht="30" x14ac:dyDescent="0.2">
      <c r="A32" s="139">
        <v>25</v>
      </c>
      <c r="B32" s="154" t="s">
        <v>258</v>
      </c>
      <c r="C32" s="188" t="s">
        <v>259</v>
      </c>
      <c r="D32" s="156">
        <v>13.8</v>
      </c>
      <c r="E32" s="185"/>
      <c r="F32" s="185"/>
      <c r="G32" s="139"/>
      <c r="H32" s="179">
        <v>6.8</v>
      </c>
      <c r="I32" s="215">
        <f t="shared" si="0"/>
        <v>49.275362318840578</v>
      </c>
      <c r="J32" s="179">
        <v>6.8</v>
      </c>
      <c r="K32" s="215">
        <f t="shared" si="1"/>
        <v>49.275362318840578</v>
      </c>
      <c r="L32" s="179">
        <v>6.8</v>
      </c>
      <c r="M32" s="215">
        <f t="shared" si="2"/>
        <v>49.275362318840578</v>
      </c>
      <c r="N32" s="185" t="s">
        <v>654</v>
      </c>
      <c r="O32" s="139">
        <v>2023</v>
      </c>
      <c r="P32" s="213"/>
      <c r="S32" s="213"/>
    </row>
    <row r="33" spans="1:19" s="212" customFormat="1" ht="30" x14ac:dyDescent="0.2">
      <c r="A33" s="139">
        <v>26</v>
      </c>
      <c r="B33" s="154" t="s">
        <v>260</v>
      </c>
      <c r="C33" s="188" t="s">
        <v>261</v>
      </c>
      <c r="D33" s="156">
        <v>23.7</v>
      </c>
      <c r="E33" s="185"/>
      <c r="F33" s="185"/>
      <c r="G33" s="139"/>
      <c r="H33" s="179">
        <v>9.5</v>
      </c>
      <c r="I33" s="215">
        <f t="shared" si="0"/>
        <v>40.084388185654007</v>
      </c>
      <c r="J33" s="179">
        <v>9.5</v>
      </c>
      <c r="K33" s="215">
        <f t="shared" si="1"/>
        <v>40.084388185654007</v>
      </c>
      <c r="L33" s="179">
        <v>9.5</v>
      </c>
      <c r="M33" s="215">
        <f t="shared" si="2"/>
        <v>40.084388185654007</v>
      </c>
      <c r="N33" s="185" t="s">
        <v>654</v>
      </c>
      <c r="O33" s="139">
        <v>2023</v>
      </c>
      <c r="P33" s="213"/>
      <c r="S33" s="213"/>
    </row>
    <row r="34" spans="1:19" s="212" customFormat="1" ht="15" customHeight="1" x14ac:dyDescent="0.2">
      <c r="A34" s="139">
        <v>27</v>
      </c>
      <c r="B34" s="154" t="s">
        <v>264</v>
      </c>
      <c r="C34" s="188" t="s">
        <v>265</v>
      </c>
      <c r="D34" s="156">
        <v>8</v>
      </c>
      <c r="E34" s="185"/>
      <c r="F34" s="185"/>
      <c r="G34" s="139"/>
      <c r="H34" s="179">
        <v>3.5</v>
      </c>
      <c r="I34" s="215">
        <f t="shared" si="0"/>
        <v>43.75</v>
      </c>
      <c r="J34" s="179">
        <v>3.5</v>
      </c>
      <c r="K34" s="215">
        <f t="shared" si="1"/>
        <v>43.75</v>
      </c>
      <c r="L34" s="179">
        <v>3.5</v>
      </c>
      <c r="M34" s="215">
        <f t="shared" si="2"/>
        <v>43.75</v>
      </c>
      <c r="N34" s="185" t="s">
        <v>654</v>
      </c>
      <c r="O34" s="139">
        <v>2023</v>
      </c>
      <c r="P34" s="213"/>
      <c r="S34" s="213"/>
    </row>
    <row r="35" spans="1:19" s="212" customFormat="1" ht="30" x14ac:dyDescent="0.2">
      <c r="A35" s="139">
        <v>28</v>
      </c>
      <c r="B35" s="154" t="s">
        <v>271</v>
      </c>
      <c r="C35" s="188" t="s">
        <v>272</v>
      </c>
      <c r="D35" s="156">
        <v>12</v>
      </c>
      <c r="E35" s="185"/>
      <c r="F35" s="185"/>
      <c r="G35" s="139"/>
      <c r="H35" s="179">
        <v>1.1000000000000001</v>
      </c>
      <c r="I35" s="215">
        <f t="shared" si="0"/>
        <v>9.1666666666666679</v>
      </c>
      <c r="J35" s="179">
        <v>1.1000000000000001</v>
      </c>
      <c r="K35" s="215">
        <f t="shared" si="1"/>
        <v>9.1666666666666679</v>
      </c>
      <c r="L35" s="179">
        <v>1.1000000000000001</v>
      </c>
      <c r="M35" s="215">
        <f t="shared" si="2"/>
        <v>9.1666666666666679</v>
      </c>
      <c r="N35" s="185" t="s">
        <v>654</v>
      </c>
      <c r="O35" s="139">
        <v>2024</v>
      </c>
      <c r="P35" s="213"/>
      <c r="S35" s="213"/>
    </row>
    <row r="36" spans="1:19" s="212" customFormat="1" ht="15" customHeight="1" x14ac:dyDescent="0.2">
      <c r="A36" s="139">
        <v>29</v>
      </c>
      <c r="B36" s="154" t="s">
        <v>273</v>
      </c>
      <c r="C36" s="188" t="s">
        <v>274</v>
      </c>
      <c r="D36" s="156">
        <v>28</v>
      </c>
      <c r="E36" s="185"/>
      <c r="F36" s="185"/>
      <c r="G36" s="139"/>
      <c r="H36" s="179">
        <v>1.4</v>
      </c>
      <c r="I36" s="215">
        <f t="shared" si="0"/>
        <v>5</v>
      </c>
      <c r="J36" s="179">
        <v>1.4</v>
      </c>
      <c r="K36" s="215">
        <f t="shared" si="1"/>
        <v>5</v>
      </c>
      <c r="L36" s="179">
        <v>1.4</v>
      </c>
      <c r="M36" s="215">
        <f t="shared" si="2"/>
        <v>5</v>
      </c>
      <c r="N36" s="185" t="s">
        <v>654</v>
      </c>
      <c r="O36" s="139">
        <v>2024</v>
      </c>
      <c r="P36" s="213"/>
      <c r="S36" s="213"/>
    </row>
    <row r="37" spans="1:19" s="212" customFormat="1" ht="30" x14ac:dyDescent="0.2">
      <c r="A37" s="139">
        <v>30</v>
      </c>
      <c r="B37" s="154">
        <v>1948088</v>
      </c>
      <c r="C37" s="188" t="s">
        <v>275</v>
      </c>
      <c r="D37" s="156">
        <v>15.55</v>
      </c>
      <c r="E37" s="185"/>
      <c r="F37" s="185"/>
      <c r="G37" s="139"/>
      <c r="H37" s="179">
        <v>0</v>
      </c>
      <c r="I37" s="215">
        <f t="shared" si="0"/>
        <v>0</v>
      </c>
      <c r="J37" s="179">
        <v>0</v>
      </c>
      <c r="K37" s="215">
        <f t="shared" si="1"/>
        <v>0</v>
      </c>
      <c r="L37" s="179">
        <v>0</v>
      </c>
      <c r="M37" s="215">
        <f t="shared" si="2"/>
        <v>0</v>
      </c>
      <c r="N37" s="185" t="s">
        <v>654</v>
      </c>
      <c r="O37" s="139">
        <v>2022</v>
      </c>
      <c r="P37" s="213"/>
      <c r="S37" s="213"/>
    </row>
    <row r="38" spans="1:19" s="212" customFormat="1" ht="30" x14ac:dyDescent="0.2">
      <c r="A38" s="139">
        <v>31</v>
      </c>
      <c r="B38" s="154" t="s">
        <v>276</v>
      </c>
      <c r="C38" s="188" t="s">
        <v>277</v>
      </c>
      <c r="D38" s="156">
        <v>3.6</v>
      </c>
      <c r="E38" s="185"/>
      <c r="F38" s="185"/>
      <c r="G38" s="139"/>
      <c r="H38" s="179">
        <v>3.6</v>
      </c>
      <c r="I38" s="215">
        <f t="shared" si="0"/>
        <v>100</v>
      </c>
      <c r="J38" s="179">
        <v>3.6</v>
      </c>
      <c r="K38" s="215">
        <f t="shared" si="1"/>
        <v>100</v>
      </c>
      <c r="L38" s="179">
        <v>3.6</v>
      </c>
      <c r="M38" s="215">
        <f t="shared" si="2"/>
        <v>100</v>
      </c>
      <c r="N38" s="185" t="s">
        <v>654</v>
      </c>
      <c r="O38" s="139">
        <v>2020</v>
      </c>
      <c r="P38" s="213"/>
      <c r="S38" s="213"/>
    </row>
    <row r="39" spans="1:19" s="212" customFormat="1" ht="15" x14ac:dyDescent="0.2">
      <c r="A39" s="139">
        <v>32</v>
      </c>
      <c r="B39" s="154" t="s">
        <v>278</v>
      </c>
      <c r="C39" s="188" t="s">
        <v>279</v>
      </c>
      <c r="D39" s="156">
        <v>34</v>
      </c>
      <c r="E39" s="185"/>
      <c r="F39" s="185"/>
      <c r="G39" s="139"/>
      <c r="H39" s="179">
        <v>0</v>
      </c>
      <c r="I39" s="215">
        <f t="shared" si="0"/>
        <v>0</v>
      </c>
      <c r="J39" s="179">
        <v>0</v>
      </c>
      <c r="K39" s="215">
        <f t="shared" si="1"/>
        <v>0</v>
      </c>
      <c r="L39" s="179">
        <v>0</v>
      </c>
      <c r="M39" s="215">
        <f t="shared" si="2"/>
        <v>0</v>
      </c>
      <c r="N39" s="185" t="s">
        <v>654</v>
      </c>
      <c r="O39" s="139">
        <v>2023</v>
      </c>
      <c r="P39" s="213"/>
      <c r="S39" s="213"/>
    </row>
    <row r="40" spans="1:19" s="212" customFormat="1" ht="15" x14ac:dyDescent="0.2">
      <c r="A40" s="139">
        <v>33</v>
      </c>
      <c r="B40" s="154" t="s">
        <v>280</v>
      </c>
      <c r="C40" s="188" t="s">
        <v>352</v>
      </c>
      <c r="D40" s="156">
        <v>15.7</v>
      </c>
      <c r="E40" s="185"/>
      <c r="F40" s="185"/>
      <c r="G40" s="139"/>
      <c r="H40" s="179">
        <v>7.2</v>
      </c>
      <c r="I40" s="215">
        <f t="shared" si="0"/>
        <v>45.859872611464972</v>
      </c>
      <c r="J40" s="179">
        <v>7.2</v>
      </c>
      <c r="K40" s="215">
        <f t="shared" si="1"/>
        <v>45.859872611464972</v>
      </c>
      <c r="L40" s="179">
        <v>7.2</v>
      </c>
      <c r="M40" s="215">
        <f t="shared" si="2"/>
        <v>45.859872611464972</v>
      </c>
      <c r="N40" s="185" t="s">
        <v>654</v>
      </c>
      <c r="O40" s="139">
        <v>2024</v>
      </c>
      <c r="P40" s="213"/>
      <c r="S40" s="213"/>
    </row>
    <row r="41" spans="1:19" s="212" customFormat="1" ht="30" x14ac:dyDescent="0.2">
      <c r="A41" s="139">
        <v>34</v>
      </c>
      <c r="B41" s="154" t="s">
        <v>281</v>
      </c>
      <c r="C41" s="188" t="s">
        <v>282</v>
      </c>
      <c r="D41" s="156">
        <v>10</v>
      </c>
      <c r="E41" s="185"/>
      <c r="F41" s="185"/>
      <c r="G41" s="139"/>
      <c r="H41" s="179">
        <v>3.6</v>
      </c>
      <c r="I41" s="215">
        <f t="shared" si="0"/>
        <v>36</v>
      </c>
      <c r="J41" s="179">
        <v>3.6</v>
      </c>
      <c r="K41" s="215">
        <f t="shared" si="1"/>
        <v>36</v>
      </c>
      <c r="L41" s="179">
        <v>3.6</v>
      </c>
      <c r="M41" s="215">
        <f t="shared" si="2"/>
        <v>36</v>
      </c>
      <c r="N41" s="185" t="s">
        <v>654</v>
      </c>
      <c r="O41" s="139">
        <v>2024</v>
      </c>
      <c r="P41" s="213"/>
      <c r="S41" s="213"/>
    </row>
    <row r="42" spans="1:19" s="212" customFormat="1" ht="14.25" customHeight="1" x14ac:dyDescent="0.2">
      <c r="A42" s="139">
        <v>35</v>
      </c>
      <c r="B42" s="154" t="s">
        <v>283</v>
      </c>
      <c r="C42" s="188" t="s">
        <v>284</v>
      </c>
      <c r="D42" s="156">
        <v>0.8</v>
      </c>
      <c r="E42" s="185"/>
      <c r="F42" s="185"/>
      <c r="G42" s="139"/>
      <c r="H42" s="179">
        <v>0.3</v>
      </c>
      <c r="I42" s="215">
        <f t="shared" si="0"/>
        <v>37.5</v>
      </c>
      <c r="J42" s="179">
        <v>0.3</v>
      </c>
      <c r="K42" s="215">
        <f t="shared" si="1"/>
        <v>37.5</v>
      </c>
      <c r="L42" s="179">
        <v>0.3</v>
      </c>
      <c r="M42" s="215">
        <f t="shared" si="2"/>
        <v>37.5</v>
      </c>
      <c r="N42" s="185" t="s">
        <v>654</v>
      </c>
      <c r="O42" s="139">
        <v>2022</v>
      </c>
      <c r="P42" s="213"/>
      <c r="S42" s="213"/>
    </row>
    <row r="43" spans="1:19" s="212" customFormat="1" ht="30" x14ac:dyDescent="0.2">
      <c r="A43" s="139">
        <v>36</v>
      </c>
      <c r="B43" s="154" t="s">
        <v>285</v>
      </c>
      <c r="C43" s="189" t="s">
        <v>286</v>
      </c>
      <c r="D43" s="156">
        <v>1.5</v>
      </c>
      <c r="E43" s="185"/>
      <c r="F43" s="185"/>
      <c r="G43" s="139"/>
      <c r="H43" s="179">
        <v>0.7</v>
      </c>
      <c r="I43" s="215">
        <f t="shared" si="0"/>
        <v>46.666666666666664</v>
      </c>
      <c r="J43" s="179">
        <v>0.7</v>
      </c>
      <c r="K43" s="215">
        <f t="shared" si="1"/>
        <v>46.666666666666664</v>
      </c>
      <c r="L43" s="179">
        <v>0.7</v>
      </c>
      <c r="M43" s="215">
        <f t="shared" si="2"/>
        <v>46.666666666666664</v>
      </c>
      <c r="N43" s="185" t="s">
        <v>654</v>
      </c>
      <c r="O43" s="139">
        <v>2020</v>
      </c>
      <c r="P43" s="213"/>
      <c r="S43" s="213"/>
    </row>
    <row r="44" spans="1:19" s="212" customFormat="1" ht="14.25" customHeight="1" x14ac:dyDescent="0.2">
      <c r="A44" s="139">
        <v>37</v>
      </c>
      <c r="B44" s="154" t="s">
        <v>287</v>
      </c>
      <c r="C44" s="188" t="s">
        <v>288</v>
      </c>
      <c r="D44" s="156">
        <v>3.5</v>
      </c>
      <c r="E44" s="185"/>
      <c r="F44" s="185"/>
      <c r="G44" s="139"/>
      <c r="H44" s="179">
        <v>1.2</v>
      </c>
      <c r="I44" s="215">
        <f t="shared" si="0"/>
        <v>34.285714285714285</v>
      </c>
      <c r="J44" s="179">
        <v>1.2</v>
      </c>
      <c r="K44" s="215">
        <f t="shared" si="1"/>
        <v>34.285714285714285</v>
      </c>
      <c r="L44" s="179">
        <v>1.2</v>
      </c>
      <c r="M44" s="215">
        <f t="shared" si="2"/>
        <v>34.285714285714285</v>
      </c>
      <c r="N44" s="185" t="s">
        <v>654</v>
      </c>
      <c r="O44" s="139">
        <v>2022</v>
      </c>
      <c r="P44" s="213"/>
      <c r="S44" s="213"/>
    </row>
    <row r="45" spans="1:19" s="212" customFormat="1" ht="15" customHeight="1" x14ac:dyDescent="0.2">
      <c r="A45" s="139">
        <v>38</v>
      </c>
      <c r="B45" s="154">
        <v>1948100</v>
      </c>
      <c r="C45" s="188" t="s">
        <v>289</v>
      </c>
      <c r="D45" s="156">
        <v>1.5</v>
      </c>
      <c r="E45" s="185"/>
      <c r="F45" s="185"/>
      <c r="G45" s="139"/>
      <c r="H45" s="179">
        <v>0</v>
      </c>
      <c r="I45" s="215">
        <f t="shared" si="0"/>
        <v>0</v>
      </c>
      <c r="J45" s="179">
        <v>0</v>
      </c>
      <c r="K45" s="215">
        <f t="shared" si="1"/>
        <v>0</v>
      </c>
      <c r="L45" s="179">
        <v>0</v>
      </c>
      <c r="M45" s="215">
        <f t="shared" si="2"/>
        <v>0</v>
      </c>
      <c r="N45" s="185" t="s">
        <v>654</v>
      </c>
      <c r="O45" s="139">
        <v>2020</v>
      </c>
      <c r="P45" s="213"/>
      <c r="S45" s="213"/>
    </row>
    <row r="46" spans="1:19" s="212" customFormat="1" ht="15" x14ac:dyDescent="0.2">
      <c r="A46" s="139">
        <v>39</v>
      </c>
      <c r="B46" s="154" t="s">
        <v>293</v>
      </c>
      <c r="C46" s="188" t="s">
        <v>294</v>
      </c>
      <c r="D46" s="156">
        <v>15.6</v>
      </c>
      <c r="E46" s="185"/>
      <c r="F46" s="185"/>
      <c r="G46" s="139"/>
      <c r="H46" s="179">
        <v>15</v>
      </c>
      <c r="I46" s="215">
        <f t="shared" si="0"/>
        <v>96.15384615384616</v>
      </c>
      <c r="J46" s="179">
        <v>15</v>
      </c>
      <c r="K46" s="215">
        <f t="shared" si="1"/>
        <v>96.15384615384616</v>
      </c>
      <c r="L46" s="179">
        <v>15</v>
      </c>
      <c r="M46" s="215">
        <f t="shared" si="2"/>
        <v>96.15384615384616</v>
      </c>
      <c r="N46" s="185" t="s">
        <v>654</v>
      </c>
      <c r="O46" s="139">
        <v>2022</v>
      </c>
      <c r="P46" s="213"/>
      <c r="S46" s="213"/>
    </row>
    <row r="47" spans="1:19" s="212" customFormat="1" ht="15" x14ac:dyDescent="0.2">
      <c r="A47" s="139">
        <v>40</v>
      </c>
      <c r="B47" s="154">
        <v>1948098</v>
      </c>
      <c r="C47" s="188" t="s">
        <v>295</v>
      </c>
      <c r="D47" s="156">
        <v>19.600000000000001</v>
      </c>
      <c r="E47" s="185"/>
      <c r="F47" s="185"/>
      <c r="G47" s="139"/>
      <c r="H47" s="179">
        <v>8.6</v>
      </c>
      <c r="I47" s="215">
        <f t="shared" si="0"/>
        <v>43.877551020408163</v>
      </c>
      <c r="J47" s="179">
        <v>8.6</v>
      </c>
      <c r="K47" s="215">
        <f t="shared" si="1"/>
        <v>43.877551020408163</v>
      </c>
      <c r="L47" s="179">
        <v>8.6</v>
      </c>
      <c r="M47" s="215">
        <f t="shared" si="2"/>
        <v>43.877551020408163</v>
      </c>
      <c r="N47" s="185" t="s">
        <v>654</v>
      </c>
      <c r="O47" s="139">
        <v>2022</v>
      </c>
      <c r="P47" s="213"/>
      <c r="S47" s="213"/>
    </row>
    <row r="48" spans="1:19" s="212" customFormat="1" ht="15" x14ac:dyDescent="0.2">
      <c r="A48" s="139">
        <v>41</v>
      </c>
      <c r="B48" s="154" t="s">
        <v>296</v>
      </c>
      <c r="C48" s="188" t="s">
        <v>297</v>
      </c>
      <c r="D48" s="156">
        <v>14</v>
      </c>
      <c r="E48" s="185"/>
      <c r="F48" s="185"/>
      <c r="G48" s="139"/>
      <c r="H48" s="179">
        <v>5.6</v>
      </c>
      <c r="I48" s="215">
        <f t="shared" si="0"/>
        <v>40</v>
      </c>
      <c r="J48" s="179">
        <v>5.6</v>
      </c>
      <c r="K48" s="215">
        <f t="shared" si="1"/>
        <v>40</v>
      </c>
      <c r="L48" s="179">
        <v>5.6</v>
      </c>
      <c r="M48" s="215">
        <f t="shared" si="2"/>
        <v>40</v>
      </c>
      <c r="N48" s="185" t="s">
        <v>654</v>
      </c>
      <c r="O48" s="139">
        <v>2022</v>
      </c>
      <c r="P48" s="213"/>
      <c r="S48" s="213"/>
    </row>
    <row r="49" spans="1:19" s="212" customFormat="1" ht="30" x14ac:dyDescent="0.2">
      <c r="A49" s="139">
        <v>42</v>
      </c>
      <c r="B49" s="154" t="s">
        <v>298</v>
      </c>
      <c r="C49" s="188" t="s">
        <v>299</v>
      </c>
      <c r="D49" s="156">
        <v>1.26</v>
      </c>
      <c r="E49" s="185"/>
      <c r="F49" s="185"/>
      <c r="G49" s="139"/>
      <c r="H49" s="179">
        <v>1.26</v>
      </c>
      <c r="I49" s="215">
        <f t="shared" si="0"/>
        <v>100</v>
      </c>
      <c r="J49" s="179">
        <v>1.26</v>
      </c>
      <c r="K49" s="215">
        <f t="shared" si="1"/>
        <v>100</v>
      </c>
      <c r="L49" s="179">
        <v>1.26</v>
      </c>
      <c r="M49" s="215">
        <f t="shared" si="2"/>
        <v>100</v>
      </c>
      <c r="N49" s="185" t="s">
        <v>654</v>
      </c>
      <c r="O49" s="139">
        <v>2020</v>
      </c>
      <c r="P49" s="213"/>
      <c r="S49" s="213"/>
    </row>
    <row r="50" spans="1:19" s="212" customFormat="1" ht="30" x14ac:dyDescent="0.2">
      <c r="A50" s="139">
        <v>43</v>
      </c>
      <c r="B50" s="154" t="s">
        <v>300</v>
      </c>
      <c r="C50" s="188" t="s">
        <v>301</v>
      </c>
      <c r="D50" s="156">
        <v>7.4</v>
      </c>
      <c r="E50" s="185"/>
      <c r="F50" s="185"/>
      <c r="G50" s="139"/>
      <c r="H50" s="179">
        <v>1.1000000000000001</v>
      </c>
      <c r="I50" s="215">
        <f t="shared" si="0"/>
        <v>14.864864864864867</v>
      </c>
      <c r="J50" s="179">
        <v>1.1000000000000001</v>
      </c>
      <c r="K50" s="215">
        <f t="shared" si="1"/>
        <v>14.864864864864867</v>
      </c>
      <c r="L50" s="179">
        <v>1.1000000000000001</v>
      </c>
      <c r="M50" s="215">
        <f t="shared" si="2"/>
        <v>14.864864864864867</v>
      </c>
      <c r="N50" s="185" t="s">
        <v>654</v>
      </c>
      <c r="O50" s="139">
        <v>2020</v>
      </c>
      <c r="P50" s="213"/>
      <c r="S50" s="213"/>
    </row>
    <row r="51" spans="1:19" s="212" customFormat="1" ht="30" x14ac:dyDescent="0.2">
      <c r="A51" s="139">
        <v>44</v>
      </c>
      <c r="B51" s="154" t="s">
        <v>304</v>
      </c>
      <c r="C51" s="188" t="s">
        <v>305</v>
      </c>
      <c r="D51" s="156">
        <v>27.6</v>
      </c>
      <c r="E51" s="185"/>
      <c r="F51" s="185"/>
      <c r="G51" s="139"/>
      <c r="H51" s="179">
        <v>21.6</v>
      </c>
      <c r="I51" s="215">
        <f t="shared" si="0"/>
        <v>78.260869565217391</v>
      </c>
      <c r="J51" s="179">
        <v>21.6</v>
      </c>
      <c r="K51" s="215">
        <f t="shared" si="1"/>
        <v>78.260869565217391</v>
      </c>
      <c r="L51" s="179">
        <v>21.6</v>
      </c>
      <c r="M51" s="215">
        <f t="shared" si="2"/>
        <v>78.260869565217391</v>
      </c>
      <c r="N51" s="185" t="s">
        <v>654</v>
      </c>
      <c r="O51" s="139">
        <v>2020</v>
      </c>
      <c r="P51" s="213"/>
      <c r="S51" s="213"/>
    </row>
    <row r="52" spans="1:19" s="212" customFormat="1" ht="30" x14ac:dyDescent="0.2">
      <c r="A52" s="139">
        <v>45</v>
      </c>
      <c r="B52" s="154" t="s">
        <v>306</v>
      </c>
      <c r="C52" s="188" t="s">
        <v>307</v>
      </c>
      <c r="D52" s="156">
        <v>3.4</v>
      </c>
      <c r="E52" s="185"/>
      <c r="F52" s="185"/>
      <c r="G52" s="139"/>
      <c r="H52" s="179">
        <v>0.5</v>
      </c>
      <c r="I52" s="215">
        <f t="shared" si="0"/>
        <v>14.705882352941178</v>
      </c>
      <c r="J52" s="179">
        <v>0.5</v>
      </c>
      <c r="K52" s="215">
        <f t="shared" si="1"/>
        <v>14.705882352941178</v>
      </c>
      <c r="L52" s="179">
        <v>0.5</v>
      </c>
      <c r="M52" s="215">
        <f t="shared" si="2"/>
        <v>14.705882352941178</v>
      </c>
      <c r="N52" s="185" t="s">
        <v>654</v>
      </c>
      <c r="O52" s="139">
        <v>2020</v>
      </c>
      <c r="P52" s="213"/>
      <c r="S52" s="213"/>
    </row>
    <row r="53" spans="1:19" s="212" customFormat="1" ht="15.75" customHeight="1" x14ac:dyDescent="0.2">
      <c r="A53" s="139">
        <v>46</v>
      </c>
      <c r="B53" s="154" t="s">
        <v>316</v>
      </c>
      <c r="C53" s="188" t="s">
        <v>317</v>
      </c>
      <c r="D53" s="156">
        <v>47</v>
      </c>
      <c r="E53" s="185"/>
      <c r="F53" s="185"/>
      <c r="G53" s="139"/>
      <c r="H53" s="179">
        <v>15.5</v>
      </c>
      <c r="I53" s="215">
        <f t="shared" ref="I53:I69" si="3">H53*100/D53</f>
        <v>32.978723404255319</v>
      </c>
      <c r="J53" s="179">
        <v>15.5</v>
      </c>
      <c r="K53" s="215">
        <f t="shared" ref="K53:K69" si="4">J53*100/D53</f>
        <v>32.978723404255319</v>
      </c>
      <c r="L53" s="179">
        <v>15.5</v>
      </c>
      <c r="M53" s="215">
        <f t="shared" ref="M53:M69" si="5">L53*100/D53</f>
        <v>32.978723404255319</v>
      </c>
      <c r="N53" s="185" t="s">
        <v>654</v>
      </c>
      <c r="O53" s="139">
        <v>2022</v>
      </c>
      <c r="P53" s="213"/>
      <c r="S53" s="213"/>
    </row>
    <row r="54" spans="1:19" s="212" customFormat="1" ht="14.25" customHeight="1" x14ac:dyDescent="0.2">
      <c r="A54" s="139">
        <v>47</v>
      </c>
      <c r="B54" s="154" t="s">
        <v>318</v>
      </c>
      <c r="C54" s="188" t="s">
        <v>319</v>
      </c>
      <c r="D54" s="156">
        <v>15</v>
      </c>
      <c r="E54" s="185"/>
      <c r="F54" s="185"/>
      <c r="G54" s="139"/>
      <c r="H54" s="179">
        <v>1.5</v>
      </c>
      <c r="I54" s="215">
        <f t="shared" si="3"/>
        <v>10</v>
      </c>
      <c r="J54" s="179">
        <v>1.5</v>
      </c>
      <c r="K54" s="215">
        <f t="shared" si="4"/>
        <v>10</v>
      </c>
      <c r="L54" s="179">
        <v>1.5</v>
      </c>
      <c r="M54" s="215">
        <f t="shared" si="5"/>
        <v>10</v>
      </c>
      <c r="N54" s="185" t="s">
        <v>654</v>
      </c>
      <c r="O54" s="139">
        <v>2022</v>
      </c>
      <c r="P54" s="213"/>
      <c r="S54" s="213"/>
    </row>
    <row r="55" spans="1:19" s="212" customFormat="1" ht="17.25" customHeight="1" x14ac:dyDescent="0.2">
      <c r="A55" s="139">
        <v>48</v>
      </c>
      <c r="B55" s="154" t="s">
        <v>320</v>
      </c>
      <c r="C55" s="188" t="s">
        <v>321</v>
      </c>
      <c r="D55" s="156">
        <v>3</v>
      </c>
      <c r="E55" s="185"/>
      <c r="F55" s="185"/>
      <c r="G55" s="139"/>
      <c r="H55" s="179">
        <v>0.8</v>
      </c>
      <c r="I55" s="215">
        <f t="shared" si="3"/>
        <v>26.666666666666668</v>
      </c>
      <c r="J55" s="179">
        <v>0.8</v>
      </c>
      <c r="K55" s="215">
        <f t="shared" si="4"/>
        <v>26.666666666666668</v>
      </c>
      <c r="L55" s="179">
        <v>0.8</v>
      </c>
      <c r="M55" s="215">
        <f t="shared" si="5"/>
        <v>26.666666666666668</v>
      </c>
      <c r="N55" s="185" t="s">
        <v>654</v>
      </c>
      <c r="O55" s="139">
        <v>2022</v>
      </c>
      <c r="P55" s="213"/>
      <c r="S55" s="213"/>
    </row>
    <row r="56" spans="1:19" s="212" customFormat="1" ht="15" customHeight="1" x14ac:dyDescent="0.2">
      <c r="A56" s="139">
        <v>49</v>
      </c>
      <c r="B56" s="154" t="s">
        <v>322</v>
      </c>
      <c r="C56" s="188" t="s">
        <v>323</v>
      </c>
      <c r="D56" s="156">
        <v>1.5</v>
      </c>
      <c r="E56" s="185"/>
      <c r="F56" s="185"/>
      <c r="G56" s="139"/>
      <c r="H56" s="179">
        <v>0.2</v>
      </c>
      <c r="I56" s="215">
        <f t="shared" si="3"/>
        <v>13.333333333333334</v>
      </c>
      <c r="J56" s="179">
        <v>0.2</v>
      </c>
      <c r="K56" s="215">
        <f t="shared" si="4"/>
        <v>13.333333333333334</v>
      </c>
      <c r="L56" s="179">
        <v>0.2</v>
      </c>
      <c r="M56" s="215">
        <f t="shared" si="5"/>
        <v>13.333333333333334</v>
      </c>
      <c r="N56" s="185" t="s">
        <v>654</v>
      </c>
      <c r="O56" s="139">
        <v>2022</v>
      </c>
      <c r="P56" s="213"/>
      <c r="S56" s="213"/>
    </row>
    <row r="57" spans="1:19" s="212" customFormat="1" ht="15.75" customHeight="1" x14ac:dyDescent="0.2">
      <c r="A57" s="139">
        <v>50</v>
      </c>
      <c r="B57" s="154" t="s">
        <v>324</v>
      </c>
      <c r="C57" s="188" t="s">
        <v>325</v>
      </c>
      <c r="D57" s="156">
        <v>135.19999999999999</v>
      </c>
      <c r="E57" s="185"/>
      <c r="F57" s="185"/>
      <c r="G57" s="139"/>
      <c r="H57" s="179">
        <v>0</v>
      </c>
      <c r="I57" s="215">
        <f t="shared" si="3"/>
        <v>0</v>
      </c>
      <c r="J57" s="179">
        <v>0</v>
      </c>
      <c r="K57" s="215">
        <f t="shared" si="4"/>
        <v>0</v>
      </c>
      <c r="L57" s="179">
        <v>0</v>
      </c>
      <c r="M57" s="215">
        <f t="shared" si="5"/>
        <v>0</v>
      </c>
      <c r="N57" s="185" t="s">
        <v>654</v>
      </c>
      <c r="O57" s="139">
        <v>2023</v>
      </c>
      <c r="P57" s="213"/>
      <c r="S57" s="213"/>
    </row>
    <row r="58" spans="1:19" s="212" customFormat="1" ht="15.75" customHeight="1" x14ac:dyDescent="0.2">
      <c r="A58" s="139">
        <v>51</v>
      </c>
      <c r="B58" s="154" t="s">
        <v>326</v>
      </c>
      <c r="C58" s="188" t="s">
        <v>327</v>
      </c>
      <c r="D58" s="156">
        <v>3.2</v>
      </c>
      <c r="E58" s="185"/>
      <c r="F58" s="185"/>
      <c r="G58" s="139"/>
      <c r="H58" s="179">
        <v>0.4</v>
      </c>
      <c r="I58" s="215">
        <f t="shared" si="3"/>
        <v>12.5</v>
      </c>
      <c r="J58" s="179">
        <v>0.4</v>
      </c>
      <c r="K58" s="215">
        <f t="shared" si="4"/>
        <v>12.5</v>
      </c>
      <c r="L58" s="179">
        <v>0.4</v>
      </c>
      <c r="M58" s="215">
        <f t="shared" si="5"/>
        <v>12.5</v>
      </c>
      <c r="N58" s="185" t="s">
        <v>654</v>
      </c>
      <c r="O58" s="139">
        <v>2023</v>
      </c>
      <c r="P58" s="213"/>
      <c r="S58" s="213"/>
    </row>
    <row r="59" spans="1:19" s="212" customFormat="1" ht="30" x14ac:dyDescent="0.2">
      <c r="A59" s="139">
        <v>52</v>
      </c>
      <c r="B59" s="154" t="s">
        <v>330</v>
      </c>
      <c r="C59" s="188" t="s">
        <v>331</v>
      </c>
      <c r="D59" s="156">
        <v>156</v>
      </c>
      <c r="E59" s="185"/>
      <c r="F59" s="185"/>
      <c r="G59" s="139"/>
      <c r="H59" s="179">
        <v>126</v>
      </c>
      <c r="I59" s="215">
        <f t="shared" si="3"/>
        <v>80.769230769230774</v>
      </c>
      <c r="J59" s="179">
        <v>126</v>
      </c>
      <c r="K59" s="215">
        <f t="shared" si="4"/>
        <v>80.769230769230774</v>
      </c>
      <c r="L59" s="179">
        <v>126</v>
      </c>
      <c r="M59" s="215">
        <f t="shared" si="5"/>
        <v>80.769230769230774</v>
      </c>
      <c r="N59" s="185" t="s">
        <v>654</v>
      </c>
      <c r="O59" s="139">
        <v>2022</v>
      </c>
      <c r="P59" s="213"/>
      <c r="S59" s="213"/>
    </row>
    <row r="60" spans="1:19" s="212" customFormat="1" ht="15.75" customHeight="1" x14ac:dyDescent="0.2">
      <c r="A60" s="139">
        <v>53</v>
      </c>
      <c r="B60" s="154" t="s">
        <v>332</v>
      </c>
      <c r="C60" s="188" t="s">
        <v>333</v>
      </c>
      <c r="D60" s="156">
        <v>3</v>
      </c>
      <c r="E60" s="185"/>
      <c r="F60" s="185"/>
      <c r="G60" s="139"/>
      <c r="H60" s="179">
        <v>0</v>
      </c>
      <c r="I60" s="215">
        <f t="shared" si="3"/>
        <v>0</v>
      </c>
      <c r="J60" s="179">
        <v>0</v>
      </c>
      <c r="K60" s="215">
        <f t="shared" si="4"/>
        <v>0</v>
      </c>
      <c r="L60" s="179">
        <v>0</v>
      </c>
      <c r="M60" s="215">
        <f t="shared" si="5"/>
        <v>0</v>
      </c>
      <c r="N60" s="185" t="s">
        <v>654</v>
      </c>
      <c r="O60" s="139">
        <v>2022</v>
      </c>
      <c r="P60" s="213"/>
      <c r="S60" s="213"/>
    </row>
    <row r="61" spans="1:19" s="212" customFormat="1" ht="30" x14ac:dyDescent="0.2">
      <c r="A61" s="139">
        <v>54</v>
      </c>
      <c r="B61" s="154">
        <v>1948104</v>
      </c>
      <c r="C61" s="188" t="s">
        <v>334</v>
      </c>
      <c r="D61" s="156">
        <v>64.186000000000007</v>
      </c>
      <c r="E61" s="185"/>
      <c r="F61" s="185"/>
      <c r="G61" s="139"/>
      <c r="H61" s="179">
        <v>55</v>
      </c>
      <c r="I61" s="215">
        <f t="shared" si="3"/>
        <v>85.688467890194119</v>
      </c>
      <c r="J61" s="179">
        <v>55</v>
      </c>
      <c r="K61" s="215">
        <f t="shared" si="4"/>
        <v>85.688467890194119</v>
      </c>
      <c r="L61" s="179">
        <v>55</v>
      </c>
      <c r="M61" s="215">
        <f t="shared" si="5"/>
        <v>85.688467890194119</v>
      </c>
      <c r="N61" s="185" t="s">
        <v>654</v>
      </c>
      <c r="O61" s="139">
        <v>2021</v>
      </c>
      <c r="P61" s="213"/>
      <c r="S61" s="213"/>
    </row>
    <row r="62" spans="1:19" s="212" customFormat="1" ht="30" x14ac:dyDescent="0.2">
      <c r="A62" s="139">
        <v>55</v>
      </c>
      <c r="B62" s="154" t="s">
        <v>335</v>
      </c>
      <c r="C62" s="188" t="s">
        <v>336</v>
      </c>
      <c r="D62" s="156">
        <v>1.4</v>
      </c>
      <c r="E62" s="185"/>
      <c r="F62" s="185"/>
      <c r="G62" s="139"/>
      <c r="H62" s="179">
        <v>1.4</v>
      </c>
      <c r="I62" s="215">
        <f t="shared" si="3"/>
        <v>100</v>
      </c>
      <c r="J62" s="179">
        <v>1.4</v>
      </c>
      <c r="K62" s="215">
        <f t="shared" si="4"/>
        <v>100</v>
      </c>
      <c r="L62" s="179">
        <v>1.4</v>
      </c>
      <c r="M62" s="215">
        <f t="shared" si="5"/>
        <v>100</v>
      </c>
      <c r="N62" s="185" t="s">
        <v>654</v>
      </c>
      <c r="O62" s="139">
        <v>2020</v>
      </c>
      <c r="P62" s="213"/>
      <c r="S62" s="213"/>
    </row>
    <row r="63" spans="1:19" s="212" customFormat="1" ht="15" customHeight="1" x14ac:dyDescent="0.2">
      <c r="A63" s="139">
        <v>56</v>
      </c>
      <c r="B63" s="154" t="s">
        <v>337</v>
      </c>
      <c r="C63" s="188" t="s">
        <v>338</v>
      </c>
      <c r="D63" s="156">
        <v>18</v>
      </c>
      <c r="E63" s="185"/>
      <c r="F63" s="185"/>
      <c r="G63" s="139"/>
      <c r="H63" s="179">
        <v>4.0999999999999996</v>
      </c>
      <c r="I63" s="215">
        <f t="shared" si="3"/>
        <v>22.777777777777775</v>
      </c>
      <c r="J63" s="179">
        <v>4.0999999999999996</v>
      </c>
      <c r="K63" s="215">
        <f t="shared" si="4"/>
        <v>22.777777777777775</v>
      </c>
      <c r="L63" s="179">
        <v>4.0999999999999996</v>
      </c>
      <c r="M63" s="215">
        <f t="shared" si="5"/>
        <v>22.777777777777775</v>
      </c>
      <c r="N63" s="185" t="s">
        <v>654</v>
      </c>
      <c r="O63" s="139">
        <v>2020</v>
      </c>
      <c r="P63" s="213"/>
      <c r="S63" s="213"/>
    </row>
    <row r="64" spans="1:19" s="212" customFormat="1" ht="15" x14ac:dyDescent="0.2">
      <c r="A64" s="139">
        <v>57</v>
      </c>
      <c r="B64" s="154" t="s">
        <v>339</v>
      </c>
      <c r="C64" s="188" t="s">
        <v>340</v>
      </c>
      <c r="D64" s="156">
        <v>5</v>
      </c>
      <c r="E64" s="185"/>
      <c r="F64" s="185"/>
      <c r="G64" s="139"/>
      <c r="H64" s="179">
        <v>0.8</v>
      </c>
      <c r="I64" s="215">
        <f t="shared" si="3"/>
        <v>16</v>
      </c>
      <c r="J64" s="179">
        <v>0.8</v>
      </c>
      <c r="K64" s="215">
        <f t="shared" si="4"/>
        <v>16</v>
      </c>
      <c r="L64" s="179">
        <v>0.8</v>
      </c>
      <c r="M64" s="215">
        <f t="shared" si="5"/>
        <v>16</v>
      </c>
      <c r="N64" s="185" t="s">
        <v>654</v>
      </c>
      <c r="O64" s="139">
        <v>2020</v>
      </c>
      <c r="P64" s="213"/>
      <c r="S64" s="213"/>
    </row>
    <row r="65" spans="1:19" s="212" customFormat="1" ht="15" x14ac:dyDescent="0.2">
      <c r="A65" s="139">
        <v>58</v>
      </c>
      <c r="B65" s="154" t="s">
        <v>341</v>
      </c>
      <c r="C65" s="188" t="s">
        <v>342</v>
      </c>
      <c r="D65" s="156">
        <v>0.7</v>
      </c>
      <c r="E65" s="185"/>
      <c r="F65" s="185"/>
      <c r="G65" s="139"/>
      <c r="H65" s="179">
        <v>0.1</v>
      </c>
      <c r="I65" s="215">
        <f t="shared" si="3"/>
        <v>14.285714285714286</v>
      </c>
      <c r="J65" s="179">
        <v>0.1</v>
      </c>
      <c r="K65" s="215">
        <f t="shared" si="4"/>
        <v>14.285714285714286</v>
      </c>
      <c r="L65" s="179">
        <v>0.1</v>
      </c>
      <c r="M65" s="215">
        <f t="shared" si="5"/>
        <v>14.285714285714286</v>
      </c>
      <c r="N65" s="185" t="s">
        <v>654</v>
      </c>
      <c r="O65" s="139">
        <v>2020</v>
      </c>
      <c r="P65" s="213"/>
      <c r="S65" s="213"/>
    </row>
    <row r="66" spans="1:19" s="212" customFormat="1" ht="15.75" customHeight="1" x14ac:dyDescent="0.2">
      <c r="A66" s="139">
        <v>59</v>
      </c>
      <c r="B66" s="154" t="s">
        <v>343</v>
      </c>
      <c r="C66" s="188" t="s">
        <v>344</v>
      </c>
      <c r="D66" s="156">
        <v>69.400000000000006</v>
      </c>
      <c r="E66" s="185"/>
      <c r="F66" s="185"/>
      <c r="G66" s="139"/>
      <c r="H66" s="179">
        <v>30.5</v>
      </c>
      <c r="I66" s="215">
        <f t="shared" si="3"/>
        <v>43.948126801152732</v>
      </c>
      <c r="J66" s="179">
        <v>30.5</v>
      </c>
      <c r="K66" s="215">
        <f t="shared" si="4"/>
        <v>43.948126801152732</v>
      </c>
      <c r="L66" s="179">
        <v>30.5</v>
      </c>
      <c r="M66" s="215">
        <f t="shared" si="5"/>
        <v>43.948126801152732</v>
      </c>
      <c r="N66" s="185" t="s">
        <v>654</v>
      </c>
      <c r="O66" s="139">
        <v>2023</v>
      </c>
      <c r="P66" s="213"/>
      <c r="S66" s="213"/>
    </row>
    <row r="67" spans="1:19" s="212" customFormat="1" ht="30" x14ac:dyDescent="0.2">
      <c r="A67" s="139">
        <v>60</v>
      </c>
      <c r="B67" s="154" t="s">
        <v>345</v>
      </c>
      <c r="C67" s="188" t="s">
        <v>346</v>
      </c>
      <c r="D67" s="156">
        <v>160</v>
      </c>
      <c r="E67" s="185"/>
      <c r="F67" s="185"/>
      <c r="G67" s="139"/>
      <c r="H67" s="179">
        <v>61</v>
      </c>
      <c r="I67" s="215">
        <f t="shared" si="3"/>
        <v>38.125</v>
      </c>
      <c r="J67" s="179">
        <v>61</v>
      </c>
      <c r="K67" s="215">
        <f t="shared" si="4"/>
        <v>38.125</v>
      </c>
      <c r="L67" s="179">
        <v>61</v>
      </c>
      <c r="M67" s="215">
        <f t="shared" si="5"/>
        <v>38.125</v>
      </c>
      <c r="N67" s="185" t="s">
        <v>654</v>
      </c>
      <c r="O67" s="139">
        <v>2024</v>
      </c>
      <c r="P67" s="213"/>
      <c r="S67" s="213"/>
    </row>
    <row r="68" spans="1:19" s="212" customFormat="1" ht="30" x14ac:dyDescent="0.2">
      <c r="A68" s="139">
        <v>61</v>
      </c>
      <c r="B68" s="154" t="s">
        <v>347</v>
      </c>
      <c r="C68" s="188" t="s">
        <v>348</v>
      </c>
      <c r="D68" s="156">
        <v>8.7999999999999995E-2</v>
      </c>
      <c r="E68" s="185"/>
      <c r="F68" s="185"/>
      <c r="G68" s="139"/>
      <c r="H68" s="179">
        <v>0</v>
      </c>
      <c r="I68" s="215">
        <f t="shared" si="3"/>
        <v>0</v>
      </c>
      <c r="J68" s="179">
        <v>0</v>
      </c>
      <c r="K68" s="215">
        <f t="shared" si="4"/>
        <v>0</v>
      </c>
      <c r="L68" s="179">
        <v>0</v>
      </c>
      <c r="M68" s="215">
        <f t="shared" si="5"/>
        <v>0</v>
      </c>
      <c r="N68" s="185" t="s">
        <v>654</v>
      </c>
      <c r="O68" s="139">
        <v>2024</v>
      </c>
      <c r="P68" s="213"/>
      <c r="S68" s="213"/>
    </row>
    <row r="69" spans="1:19" s="212" customFormat="1" ht="30" x14ac:dyDescent="0.2">
      <c r="A69" s="139">
        <v>62</v>
      </c>
      <c r="B69" s="154" t="s">
        <v>349</v>
      </c>
      <c r="C69" s="188" t="s">
        <v>350</v>
      </c>
      <c r="D69" s="156">
        <v>17.600999999999999</v>
      </c>
      <c r="E69" s="185"/>
      <c r="F69" s="185"/>
      <c r="G69" s="139"/>
      <c r="H69" s="179">
        <v>17.600000000000001</v>
      </c>
      <c r="I69" s="215">
        <f t="shared" si="3"/>
        <v>99.994318504630442</v>
      </c>
      <c r="J69" s="179">
        <v>17.600000000000001</v>
      </c>
      <c r="K69" s="215">
        <f t="shared" si="4"/>
        <v>99.994318504630442</v>
      </c>
      <c r="L69" s="179">
        <v>17.600000000000001</v>
      </c>
      <c r="M69" s="215">
        <f t="shared" si="5"/>
        <v>99.994318504630442</v>
      </c>
      <c r="N69" s="185" t="s">
        <v>654</v>
      </c>
      <c r="O69" s="139">
        <v>2024</v>
      </c>
      <c r="P69" s="213"/>
      <c r="S69" s="213"/>
    </row>
    <row r="70" spans="1:19" s="212" customFormat="1" ht="30" x14ac:dyDescent="0.2">
      <c r="A70" s="139">
        <v>63</v>
      </c>
      <c r="B70" s="340">
        <v>1948114</v>
      </c>
      <c r="C70" s="186" t="s">
        <v>128</v>
      </c>
      <c r="D70" s="155">
        <v>236.714</v>
      </c>
      <c r="E70" s="185"/>
      <c r="F70" s="185"/>
      <c r="G70" s="139"/>
      <c r="H70" s="179">
        <v>50</v>
      </c>
      <c r="I70" s="215">
        <f t="shared" ref="I70:I90" si="6">H70*100/D70</f>
        <v>21.122536056169047</v>
      </c>
      <c r="J70" s="179">
        <v>54.372</v>
      </c>
      <c r="K70" s="215">
        <f t="shared" ref="K70:K89" si="7">J70*100/D70</f>
        <v>22.96949060892047</v>
      </c>
      <c r="L70" s="179">
        <f>J70+2.66</f>
        <v>57.031999999999996</v>
      </c>
      <c r="M70" s="215">
        <f t="shared" ref="M70:M89" si="8">L70*100/D70</f>
        <v>24.093209527108662</v>
      </c>
      <c r="N70" s="185" t="s">
        <v>654</v>
      </c>
      <c r="O70" s="139">
        <v>2019</v>
      </c>
      <c r="P70" s="213"/>
      <c r="S70" s="213"/>
    </row>
    <row r="71" spans="1:19" s="212" customFormat="1" ht="13.5" customHeight="1" x14ac:dyDescent="0.2">
      <c r="A71" s="139">
        <v>64</v>
      </c>
      <c r="B71" s="139">
        <v>1948183</v>
      </c>
      <c r="C71" s="187" t="s">
        <v>132</v>
      </c>
      <c r="D71" s="155">
        <v>71.245999999999995</v>
      </c>
      <c r="E71" s="185"/>
      <c r="F71" s="185"/>
      <c r="G71" s="139"/>
      <c r="H71" s="179">
        <v>27.5</v>
      </c>
      <c r="I71" s="215">
        <f t="shared" si="6"/>
        <v>38.598658170283244</v>
      </c>
      <c r="J71" s="179">
        <f>H71+2.718</f>
        <v>30.218</v>
      </c>
      <c r="K71" s="215">
        <f t="shared" si="7"/>
        <v>42.413609185077064</v>
      </c>
      <c r="L71" s="179">
        <f>J71</f>
        <v>30.218</v>
      </c>
      <c r="M71" s="215">
        <f t="shared" si="8"/>
        <v>42.413609185077064</v>
      </c>
      <c r="N71" s="185" t="s">
        <v>654</v>
      </c>
      <c r="O71" s="139">
        <v>2019</v>
      </c>
      <c r="P71" s="213"/>
      <c r="S71" s="213"/>
    </row>
    <row r="72" spans="1:19" s="212" customFormat="1" ht="30" x14ac:dyDescent="0.2">
      <c r="A72" s="139">
        <v>65</v>
      </c>
      <c r="B72" s="154" t="s">
        <v>136</v>
      </c>
      <c r="C72" s="188" t="s">
        <v>137</v>
      </c>
      <c r="D72" s="156">
        <v>31.587</v>
      </c>
      <c r="E72" s="185"/>
      <c r="F72" s="185"/>
      <c r="G72" s="139"/>
      <c r="H72" s="179">
        <v>5</v>
      </c>
      <c r="I72" s="215">
        <f t="shared" si="6"/>
        <v>15.829296862633361</v>
      </c>
      <c r="J72" s="179">
        <f>H72+7.964</f>
        <v>12.964</v>
      </c>
      <c r="K72" s="215">
        <f t="shared" si="7"/>
        <v>41.042200905435784</v>
      </c>
      <c r="L72" s="179">
        <f>J72</f>
        <v>12.964</v>
      </c>
      <c r="M72" s="215">
        <f t="shared" si="8"/>
        <v>41.042200905435784</v>
      </c>
      <c r="N72" s="185" t="s">
        <v>654</v>
      </c>
      <c r="O72" s="139">
        <v>2019</v>
      </c>
      <c r="P72" s="213"/>
      <c r="S72" s="213"/>
    </row>
    <row r="73" spans="1:19" s="212" customFormat="1" ht="14.25" customHeight="1" x14ac:dyDescent="0.2">
      <c r="A73" s="139">
        <v>66</v>
      </c>
      <c r="B73" s="154">
        <v>1948142</v>
      </c>
      <c r="C73" s="188" t="s">
        <v>141</v>
      </c>
      <c r="D73" s="156">
        <v>78.5</v>
      </c>
      <c r="E73" s="185"/>
      <c r="F73" s="185"/>
      <c r="G73" s="139"/>
      <c r="H73" s="179">
        <v>20.5</v>
      </c>
      <c r="I73" s="215">
        <f t="shared" si="6"/>
        <v>26.114649681528661</v>
      </c>
      <c r="J73" s="179">
        <f>H73+11.263</f>
        <v>31.762999999999998</v>
      </c>
      <c r="K73" s="215">
        <f t="shared" si="7"/>
        <v>40.462420382165604</v>
      </c>
      <c r="L73" s="179">
        <f>J73+2</f>
        <v>33.762999999999998</v>
      </c>
      <c r="M73" s="215">
        <f t="shared" si="8"/>
        <v>43.010191082802542</v>
      </c>
      <c r="N73" s="185" t="s">
        <v>654</v>
      </c>
      <c r="O73" s="139">
        <v>2019</v>
      </c>
      <c r="P73" s="213"/>
      <c r="S73" s="213"/>
    </row>
    <row r="74" spans="1:19" s="212" customFormat="1" ht="30" x14ac:dyDescent="0.2">
      <c r="A74" s="139">
        <v>67</v>
      </c>
      <c r="B74" s="154" t="s">
        <v>249</v>
      </c>
      <c r="C74" s="188" t="s">
        <v>250</v>
      </c>
      <c r="D74" s="156">
        <v>8</v>
      </c>
      <c r="E74" s="185"/>
      <c r="F74" s="185"/>
      <c r="G74" s="139"/>
      <c r="H74" s="179">
        <v>3.1</v>
      </c>
      <c r="I74" s="215">
        <f t="shared" si="6"/>
        <v>38.75</v>
      </c>
      <c r="J74" s="179">
        <v>3.1</v>
      </c>
      <c r="K74" s="215">
        <f t="shared" si="7"/>
        <v>38.75</v>
      </c>
      <c r="L74" s="179">
        <v>8</v>
      </c>
      <c r="M74" s="215">
        <f t="shared" si="8"/>
        <v>100</v>
      </c>
      <c r="N74" s="185" t="s">
        <v>654</v>
      </c>
      <c r="O74" s="139">
        <v>2020</v>
      </c>
      <c r="P74" s="213"/>
      <c r="S74" s="213"/>
    </row>
    <row r="75" spans="1:19" s="212" customFormat="1" ht="30" x14ac:dyDescent="0.2">
      <c r="A75" s="139">
        <v>68</v>
      </c>
      <c r="B75" s="154" t="s">
        <v>308</v>
      </c>
      <c r="C75" s="188" t="s">
        <v>309</v>
      </c>
      <c r="D75" s="156">
        <v>85</v>
      </c>
      <c r="E75" s="185"/>
      <c r="F75" s="185"/>
      <c r="G75" s="139"/>
      <c r="H75" s="179">
        <v>0</v>
      </c>
      <c r="I75" s="215">
        <f t="shared" si="6"/>
        <v>0</v>
      </c>
      <c r="J75" s="179">
        <v>0</v>
      </c>
      <c r="K75" s="215">
        <f t="shared" si="7"/>
        <v>0</v>
      </c>
      <c r="L75" s="179">
        <v>2</v>
      </c>
      <c r="M75" s="215">
        <f t="shared" si="8"/>
        <v>2.3529411764705883</v>
      </c>
      <c r="N75" s="185" t="s">
        <v>654</v>
      </c>
      <c r="O75" s="139">
        <v>2020</v>
      </c>
      <c r="P75" s="213"/>
      <c r="S75" s="213"/>
    </row>
    <row r="76" spans="1:19" s="212" customFormat="1" ht="15" x14ac:dyDescent="0.2">
      <c r="A76" s="139">
        <v>69</v>
      </c>
      <c r="B76" s="154" t="s">
        <v>262</v>
      </c>
      <c r="C76" s="188" t="s">
        <v>263</v>
      </c>
      <c r="D76" s="156">
        <v>31</v>
      </c>
      <c r="E76" s="185"/>
      <c r="F76" s="185"/>
      <c r="G76" s="139"/>
      <c r="H76" s="179">
        <v>0</v>
      </c>
      <c r="I76" s="215">
        <f t="shared" si="6"/>
        <v>0</v>
      </c>
      <c r="J76" s="179">
        <v>0</v>
      </c>
      <c r="K76" s="215">
        <f t="shared" si="7"/>
        <v>0</v>
      </c>
      <c r="L76" s="179">
        <v>4</v>
      </c>
      <c r="M76" s="215">
        <f t="shared" si="8"/>
        <v>12.903225806451612</v>
      </c>
      <c r="N76" s="185" t="s">
        <v>654</v>
      </c>
      <c r="O76" s="139">
        <v>2020</v>
      </c>
      <c r="P76" s="213"/>
      <c r="S76" s="213"/>
    </row>
    <row r="77" spans="1:19" s="212" customFormat="1" ht="15" customHeight="1" x14ac:dyDescent="0.2">
      <c r="A77" s="139">
        <v>70</v>
      </c>
      <c r="B77" s="154" t="s">
        <v>266</v>
      </c>
      <c r="C77" s="188" t="s">
        <v>590</v>
      </c>
      <c r="D77" s="156">
        <v>1.5</v>
      </c>
      <c r="E77" s="185"/>
      <c r="F77" s="185"/>
      <c r="G77" s="139"/>
      <c r="H77" s="179">
        <v>0</v>
      </c>
      <c r="I77" s="215">
        <f t="shared" si="6"/>
        <v>0</v>
      </c>
      <c r="J77" s="179">
        <v>0</v>
      </c>
      <c r="K77" s="215">
        <f t="shared" si="7"/>
        <v>0</v>
      </c>
      <c r="L77" s="179">
        <v>1.5</v>
      </c>
      <c r="M77" s="215">
        <f t="shared" si="8"/>
        <v>100</v>
      </c>
      <c r="N77" s="185" t="s">
        <v>654</v>
      </c>
      <c r="O77" s="139">
        <v>2021</v>
      </c>
      <c r="P77" s="213"/>
      <c r="S77" s="213"/>
    </row>
    <row r="78" spans="1:19" s="212" customFormat="1" ht="30" x14ac:dyDescent="0.2">
      <c r="A78" s="139">
        <v>71</v>
      </c>
      <c r="B78" s="341">
        <v>1948128</v>
      </c>
      <c r="C78" s="188" t="s">
        <v>228</v>
      </c>
      <c r="D78" s="156">
        <v>66</v>
      </c>
      <c r="E78" s="185"/>
      <c r="F78" s="185"/>
      <c r="G78" s="139"/>
      <c r="H78" s="179">
        <v>24</v>
      </c>
      <c r="I78" s="215">
        <f t="shared" si="6"/>
        <v>36.363636363636367</v>
      </c>
      <c r="J78" s="179">
        <v>24</v>
      </c>
      <c r="K78" s="215">
        <f t="shared" si="7"/>
        <v>36.363636363636367</v>
      </c>
      <c r="L78" s="179">
        <v>38</v>
      </c>
      <c r="M78" s="215">
        <f t="shared" si="8"/>
        <v>57.575757575757578</v>
      </c>
      <c r="N78" s="185" t="s">
        <v>654</v>
      </c>
      <c r="O78" s="139">
        <v>2021</v>
      </c>
      <c r="P78" s="213"/>
      <c r="S78" s="213"/>
    </row>
    <row r="79" spans="1:19" s="212" customFormat="1" ht="30" x14ac:dyDescent="0.2">
      <c r="A79" s="139">
        <v>72</v>
      </c>
      <c r="B79" s="154" t="s">
        <v>291</v>
      </c>
      <c r="C79" s="188" t="s">
        <v>292</v>
      </c>
      <c r="D79" s="156">
        <v>73</v>
      </c>
      <c r="E79" s="185"/>
      <c r="F79" s="185"/>
      <c r="G79" s="139"/>
      <c r="H79" s="179">
        <v>13.1</v>
      </c>
      <c r="I79" s="215">
        <f t="shared" si="6"/>
        <v>17.945205479452056</v>
      </c>
      <c r="J79" s="179">
        <v>13.1</v>
      </c>
      <c r="K79" s="215">
        <f t="shared" si="7"/>
        <v>17.945205479452056</v>
      </c>
      <c r="L79" s="179">
        <v>18.100000000000001</v>
      </c>
      <c r="M79" s="215">
        <f t="shared" si="8"/>
        <v>24.794520547945208</v>
      </c>
      <c r="N79" s="185" t="s">
        <v>654</v>
      </c>
      <c r="O79" s="139">
        <v>2024</v>
      </c>
      <c r="P79" s="213"/>
      <c r="S79" s="213"/>
    </row>
    <row r="80" spans="1:19" s="212" customFormat="1" ht="15" customHeight="1" x14ac:dyDescent="0.2">
      <c r="A80" s="139">
        <v>73</v>
      </c>
      <c r="B80" s="154" t="s">
        <v>269</v>
      </c>
      <c r="C80" s="188" t="s">
        <v>270</v>
      </c>
      <c r="D80" s="156">
        <v>13</v>
      </c>
      <c r="E80" s="185"/>
      <c r="F80" s="185"/>
      <c r="G80" s="139"/>
      <c r="H80" s="179">
        <v>5</v>
      </c>
      <c r="I80" s="215">
        <f t="shared" si="6"/>
        <v>38.46153846153846</v>
      </c>
      <c r="J80" s="179">
        <v>5</v>
      </c>
      <c r="K80" s="215">
        <f t="shared" si="7"/>
        <v>38.46153846153846</v>
      </c>
      <c r="L80" s="179">
        <v>13</v>
      </c>
      <c r="M80" s="215">
        <f t="shared" si="8"/>
        <v>100</v>
      </c>
      <c r="N80" s="185" t="s">
        <v>654</v>
      </c>
      <c r="O80" s="139">
        <v>2022</v>
      </c>
      <c r="P80" s="213"/>
      <c r="S80" s="213"/>
    </row>
    <row r="81" spans="1:19" s="212" customFormat="1" ht="15" x14ac:dyDescent="0.2">
      <c r="A81" s="139">
        <v>74</v>
      </c>
      <c r="B81" s="341">
        <v>1948188</v>
      </c>
      <c r="C81" s="188" t="s">
        <v>225</v>
      </c>
      <c r="D81" s="156">
        <v>10</v>
      </c>
      <c r="E81" s="185"/>
      <c r="F81" s="185"/>
      <c r="G81" s="139"/>
      <c r="H81" s="179">
        <v>2.5</v>
      </c>
      <c r="I81" s="215">
        <f t="shared" si="6"/>
        <v>25</v>
      </c>
      <c r="J81" s="179">
        <v>2.5</v>
      </c>
      <c r="K81" s="215">
        <f t="shared" si="7"/>
        <v>25</v>
      </c>
      <c r="L81" s="179">
        <v>10</v>
      </c>
      <c r="M81" s="215">
        <f t="shared" si="8"/>
        <v>100</v>
      </c>
      <c r="N81" s="185" t="s">
        <v>654</v>
      </c>
      <c r="O81" s="139">
        <v>2022</v>
      </c>
      <c r="P81" s="213"/>
      <c r="S81" s="213"/>
    </row>
    <row r="82" spans="1:19" s="212" customFormat="1" ht="15" customHeight="1" x14ac:dyDescent="0.2">
      <c r="A82" s="139">
        <v>75</v>
      </c>
      <c r="B82" s="341">
        <v>1948138</v>
      </c>
      <c r="C82" s="188" t="s">
        <v>236</v>
      </c>
      <c r="D82" s="156">
        <v>36</v>
      </c>
      <c r="E82" s="185"/>
      <c r="F82" s="185"/>
      <c r="G82" s="139"/>
      <c r="H82" s="179">
        <v>15</v>
      </c>
      <c r="I82" s="215">
        <f t="shared" si="6"/>
        <v>41.666666666666664</v>
      </c>
      <c r="J82" s="179">
        <v>15</v>
      </c>
      <c r="K82" s="215">
        <f t="shared" si="7"/>
        <v>41.666666666666664</v>
      </c>
      <c r="L82" s="179">
        <v>27.3</v>
      </c>
      <c r="M82" s="215">
        <f t="shared" si="8"/>
        <v>75.833333333333329</v>
      </c>
      <c r="N82" s="185" t="s">
        <v>654</v>
      </c>
      <c r="O82" s="139">
        <v>2022</v>
      </c>
      <c r="P82" s="213"/>
      <c r="S82" s="213"/>
    </row>
    <row r="83" spans="1:19" s="212" customFormat="1" ht="30" x14ac:dyDescent="0.2">
      <c r="A83" s="139">
        <v>76</v>
      </c>
      <c r="B83" s="154" t="s">
        <v>314</v>
      </c>
      <c r="C83" s="188" t="s">
        <v>315</v>
      </c>
      <c r="D83" s="156">
        <v>31</v>
      </c>
      <c r="E83" s="185"/>
      <c r="F83" s="185"/>
      <c r="G83" s="139"/>
      <c r="H83" s="179">
        <v>14.6</v>
      </c>
      <c r="I83" s="215">
        <f t="shared" si="6"/>
        <v>47.096774193548384</v>
      </c>
      <c r="J83" s="179">
        <v>14.6</v>
      </c>
      <c r="K83" s="215">
        <f t="shared" si="7"/>
        <v>47.096774193548384</v>
      </c>
      <c r="L83" s="179">
        <v>23.15</v>
      </c>
      <c r="M83" s="215">
        <f t="shared" si="8"/>
        <v>74.677419354838705</v>
      </c>
      <c r="N83" s="185" t="s">
        <v>654</v>
      </c>
      <c r="O83" s="139">
        <v>2023</v>
      </c>
      <c r="P83" s="213"/>
      <c r="S83" s="213"/>
    </row>
    <row r="84" spans="1:19" s="212" customFormat="1" ht="30" x14ac:dyDescent="0.2">
      <c r="A84" s="139">
        <v>77</v>
      </c>
      <c r="B84" s="154" t="s">
        <v>310</v>
      </c>
      <c r="C84" s="188" t="s">
        <v>311</v>
      </c>
      <c r="D84" s="156">
        <v>7.2</v>
      </c>
      <c r="E84" s="185"/>
      <c r="F84" s="185"/>
      <c r="G84" s="139"/>
      <c r="H84" s="179">
        <v>0</v>
      </c>
      <c r="I84" s="215">
        <f t="shared" si="6"/>
        <v>0</v>
      </c>
      <c r="J84" s="179">
        <v>0</v>
      </c>
      <c r="K84" s="215">
        <f t="shared" si="7"/>
        <v>0</v>
      </c>
      <c r="L84" s="179">
        <v>7.2</v>
      </c>
      <c r="M84" s="215">
        <f t="shared" si="8"/>
        <v>100</v>
      </c>
      <c r="N84" s="185" t="s">
        <v>654</v>
      </c>
      <c r="O84" s="139">
        <v>2023</v>
      </c>
      <c r="P84" s="213"/>
      <c r="S84" s="213"/>
    </row>
    <row r="85" spans="1:19" s="212" customFormat="1" ht="14.25" customHeight="1" x14ac:dyDescent="0.2">
      <c r="A85" s="139">
        <v>78</v>
      </c>
      <c r="B85" s="154" t="s">
        <v>267</v>
      </c>
      <c r="C85" s="188" t="s">
        <v>268</v>
      </c>
      <c r="D85" s="156">
        <v>42</v>
      </c>
      <c r="E85" s="185"/>
      <c r="F85" s="185"/>
      <c r="G85" s="139"/>
      <c r="H85" s="179">
        <v>10</v>
      </c>
      <c r="I85" s="215">
        <f t="shared" si="6"/>
        <v>23.80952380952381</v>
      </c>
      <c r="J85" s="179">
        <v>10</v>
      </c>
      <c r="K85" s="215">
        <f t="shared" si="7"/>
        <v>23.80952380952381</v>
      </c>
      <c r="L85" s="179">
        <v>24</v>
      </c>
      <c r="M85" s="215">
        <f t="shared" si="8"/>
        <v>57.142857142857146</v>
      </c>
      <c r="N85" s="185" t="s">
        <v>654</v>
      </c>
      <c r="O85" s="139">
        <v>2023</v>
      </c>
      <c r="P85" s="213"/>
      <c r="S85" s="213"/>
    </row>
    <row r="86" spans="1:19" s="212" customFormat="1" ht="15" customHeight="1" x14ac:dyDescent="0.2">
      <c r="A86" s="139">
        <v>79</v>
      </c>
      <c r="B86" s="154" t="s">
        <v>312</v>
      </c>
      <c r="C86" s="188" t="s">
        <v>313</v>
      </c>
      <c r="D86" s="156">
        <v>58</v>
      </c>
      <c r="E86" s="185"/>
      <c r="F86" s="185"/>
      <c r="G86" s="139"/>
      <c r="H86" s="179">
        <v>38</v>
      </c>
      <c r="I86" s="215">
        <f t="shared" si="6"/>
        <v>65.517241379310349</v>
      </c>
      <c r="J86" s="179">
        <v>38</v>
      </c>
      <c r="K86" s="215">
        <f t="shared" si="7"/>
        <v>65.517241379310349</v>
      </c>
      <c r="L86" s="179">
        <v>44</v>
      </c>
      <c r="M86" s="215">
        <f t="shared" si="8"/>
        <v>75.862068965517238</v>
      </c>
      <c r="N86" s="185" t="s">
        <v>654</v>
      </c>
      <c r="O86" s="139">
        <v>2024</v>
      </c>
      <c r="P86" s="213"/>
      <c r="S86" s="213"/>
    </row>
    <row r="87" spans="1:19" s="212" customFormat="1" ht="30" x14ac:dyDescent="0.2">
      <c r="A87" s="139">
        <v>80</v>
      </c>
      <c r="B87" s="154" t="s">
        <v>302</v>
      </c>
      <c r="C87" s="188" t="s">
        <v>303</v>
      </c>
      <c r="D87" s="156">
        <v>28.9</v>
      </c>
      <c r="E87" s="185"/>
      <c r="F87" s="185"/>
      <c r="G87" s="139"/>
      <c r="H87" s="179">
        <v>8</v>
      </c>
      <c r="I87" s="215">
        <f t="shared" si="6"/>
        <v>27.681660899653981</v>
      </c>
      <c r="J87" s="179">
        <v>8</v>
      </c>
      <c r="K87" s="215">
        <f t="shared" si="7"/>
        <v>27.681660899653981</v>
      </c>
      <c r="L87" s="179">
        <v>25.9</v>
      </c>
      <c r="M87" s="215">
        <f t="shared" si="8"/>
        <v>89.61937716262976</v>
      </c>
      <c r="N87" s="185" t="s">
        <v>654</v>
      </c>
      <c r="O87" s="139">
        <v>2024</v>
      </c>
      <c r="P87" s="213"/>
      <c r="S87" s="213"/>
    </row>
    <row r="88" spans="1:19" s="212" customFormat="1" ht="30" x14ac:dyDescent="0.2">
      <c r="A88" s="139">
        <v>81</v>
      </c>
      <c r="B88" s="154" t="s">
        <v>328</v>
      </c>
      <c r="C88" s="188" t="s">
        <v>329</v>
      </c>
      <c r="D88" s="156">
        <v>126</v>
      </c>
      <c r="E88" s="185"/>
      <c r="F88" s="185"/>
      <c r="G88" s="139"/>
      <c r="H88" s="179">
        <v>80</v>
      </c>
      <c r="I88" s="215">
        <f t="shared" si="6"/>
        <v>63.492063492063494</v>
      </c>
      <c r="J88" s="179">
        <v>80</v>
      </c>
      <c r="K88" s="215">
        <f t="shared" si="7"/>
        <v>63.492063492063494</v>
      </c>
      <c r="L88" s="179">
        <v>88</v>
      </c>
      <c r="M88" s="215">
        <f t="shared" si="8"/>
        <v>69.841269841269835</v>
      </c>
      <c r="N88" s="185" t="s">
        <v>654</v>
      </c>
      <c r="O88" s="139">
        <v>2024</v>
      </c>
      <c r="P88" s="213"/>
      <c r="S88" s="213"/>
    </row>
    <row r="89" spans="1:19" s="212" customFormat="1" ht="15" x14ac:dyDescent="0.2">
      <c r="A89" s="139">
        <v>82</v>
      </c>
      <c r="B89" s="154">
        <v>1948184</v>
      </c>
      <c r="C89" s="188" t="s">
        <v>290</v>
      </c>
      <c r="D89" s="156">
        <v>37.9</v>
      </c>
      <c r="E89" s="185"/>
      <c r="F89" s="185"/>
      <c r="G89" s="139"/>
      <c r="H89" s="179">
        <v>25</v>
      </c>
      <c r="I89" s="215">
        <f t="shared" si="6"/>
        <v>65.963060686015837</v>
      </c>
      <c r="J89" s="179">
        <v>25</v>
      </c>
      <c r="K89" s="215">
        <f t="shared" si="7"/>
        <v>65.963060686015837</v>
      </c>
      <c r="L89" s="179">
        <v>26.6</v>
      </c>
      <c r="M89" s="215">
        <f t="shared" si="8"/>
        <v>70.184696569920845</v>
      </c>
      <c r="N89" s="185" t="s">
        <v>654</v>
      </c>
      <c r="O89" s="139">
        <v>2024</v>
      </c>
      <c r="P89" s="213"/>
      <c r="S89" s="213"/>
    </row>
    <row r="90" spans="1:19" ht="15" x14ac:dyDescent="0.2">
      <c r="A90" s="690" t="s">
        <v>57</v>
      </c>
      <c r="B90" s="690"/>
      <c r="C90" s="690"/>
      <c r="D90" s="157">
        <f>SUM(D8:D89)</f>
        <v>2523.8630000000003</v>
      </c>
      <c r="E90" s="88"/>
      <c r="F90" s="88"/>
      <c r="G90" s="88"/>
      <c r="H90" s="157">
        <f>SUM(H8:H89)</f>
        <v>1141.0530000000003</v>
      </c>
      <c r="I90" s="161">
        <f t="shared" si="6"/>
        <v>45.210576009870593</v>
      </c>
      <c r="J90" s="157">
        <f>SUM(J8:J89)</f>
        <v>1167.3700000000003</v>
      </c>
      <c r="K90" s="161">
        <f>J90*100/D90</f>
        <v>46.25330297246721</v>
      </c>
      <c r="L90" s="157">
        <f>SUM(L8:L89)</f>
        <v>1297.4120000000003</v>
      </c>
      <c r="M90" s="161">
        <f>L90*100/D90</f>
        <v>51.405801345001692</v>
      </c>
      <c r="N90" s="88"/>
      <c r="O90" s="86"/>
    </row>
    <row r="91" spans="1:19" x14ac:dyDescent="0.2">
      <c r="L91" s="158"/>
    </row>
    <row r="92" spans="1:19" ht="15" x14ac:dyDescent="0.2">
      <c r="L92" s="214"/>
    </row>
    <row r="93" spans="1:19" x14ac:dyDescent="0.2">
      <c r="L93" s="158"/>
    </row>
  </sheetData>
  <mergeCells count="13">
    <mergeCell ref="H4:I5"/>
    <mergeCell ref="A1:O1"/>
    <mergeCell ref="J3:K5"/>
    <mergeCell ref="A90:C90"/>
    <mergeCell ref="N2:O5"/>
    <mergeCell ref="E2:M2"/>
    <mergeCell ref="E3:I3"/>
    <mergeCell ref="A2:A6"/>
    <mergeCell ref="B2:B6"/>
    <mergeCell ref="C2:C6"/>
    <mergeCell ref="D2:D6"/>
    <mergeCell ref="L3:M5"/>
    <mergeCell ref="E4:G5"/>
  </mergeCells>
  <pageMargins left="0.7" right="0.7" top="0.75" bottom="0.75" header="0.3" footer="0.3"/>
  <pageSetup paperSize="9" scale="63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2"/>
  <sheetViews>
    <sheetView view="pageBreakPreview" zoomScale="85" zoomScaleSheetLayoutView="85" workbookViewId="0">
      <pane ySplit="7" topLeftCell="A104" activePane="bottomLeft" state="frozen"/>
      <selection pane="bottomLeft" activeCell="O82" sqref="O82:P82"/>
    </sheetView>
  </sheetViews>
  <sheetFormatPr defaultColWidth="8.85546875" defaultRowHeight="12.75" x14ac:dyDescent="0.2"/>
  <cols>
    <col min="1" max="1" width="5.28515625" customWidth="1"/>
    <col min="2" max="2" width="8.42578125" customWidth="1"/>
    <col min="3" max="3" width="32.7109375" customWidth="1"/>
    <col min="4" max="4" width="11.42578125" customWidth="1"/>
    <col min="5" max="5" width="14" customWidth="1"/>
    <col min="6" max="7" width="8.140625" customWidth="1"/>
    <col min="8" max="8" width="13" customWidth="1"/>
    <col min="9" max="9" width="10.85546875" customWidth="1"/>
    <col min="10" max="10" width="11.42578125" customWidth="1"/>
    <col min="11" max="11" width="11" customWidth="1"/>
    <col min="15" max="15" width="10.28515625" customWidth="1"/>
    <col min="16" max="16" width="10.28515625" bestFit="1" customWidth="1"/>
  </cols>
  <sheetData>
    <row r="1" spans="1:16" ht="31.5" customHeight="1" x14ac:dyDescent="0.2">
      <c r="A1" s="694" t="s">
        <v>539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</row>
    <row r="2" spans="1:16" ht="15" customHeight="1" x14ac:dyDescent="0.2">
      <c r="A2" s="691" t="s">
        <v>0</v>
      </c>
      <c r="B2" s="653" t="s">
        <v>25</v>
      </c>
      <c r="C2" s="653" t="s">
        <v>74</v>
      </c>
      <c r="D2" s="653" t="s">
        <v>62</v>
      </c>
      <c r="E2" s="653"/>
      <c r="F2" s="688" t="s">
        <v>100</v>
      </c>
      <c r="G2" s="688"/>
      <c r="H2" s="688"/>
      <c r="I2" s="688"/>
      <c r="J2" s="688"/>
      <c r="K2" s="688"/>
      <c r="L2" s="688"/>
      <c r="M2" s="688"/>
      <c r="N2" s="688"/>
      <c r="O2" s="653" t="s">
        <v>78</v>
      </c>
      <c r="P2" s="653"/>
    </row>
    <row r="3" spans="1:16" ht="15" customHeight="1" x14ac:dyDescent="0.2">
      <c r="A3" s="691"/>
      <c r="B3" s="653"/>
      <c r="C3" s="653"/>
      <c r="D3" s="653"/>
      <c r="E3" s="653"/>
      <c r="F3" s="688" t="s">
        <v>2</v>
      </c>
      <c r="G3" s="688"/>
      <c r="H3" s="688"/>
      <c r="I3" s="688"/>
      <c r="J3" s="688"/>
      <c r="K3" s="688" t="s">
        <v>63</v>
      </c>
      <c r="L3" s="688"/>
      <c r="M3" s="688" t="s">
        <v>69</v>
      </c>
      <c r="N3" s="688"/>
      <c r="O3" s="653"/>
      <c r="P3" s="653"/>
    </row>
    <row r="4" spans="1:16" ht="12.75" customHeight="1" x14ac:dyDescent="0.2">
      <c r="A4" s="691"/>
      <c r="B4" s="653"/>
      <c r="C4" s="653"/>
      <c r="D4" s="653"/>
      <c r="E4" s="653"/>
      <c r="F4" s="688" t="s">
        <v>64</v>
      </c>
      <c r="G4" s="688"/>
      <c r="H4" s="688"/>
      <c r="I4" s="688" t="s">
        <v>3</v>
      </c>
      <c r="J4" s="688"/>
      <c r="K4" s="688"/>
      <c r="L4" s="688"/>
      <c r="M4" s="688"/>
      <c r="N4" s="688"/>
      <c r="O4" s="653"/>
      <c r="P4" s="653"/>
    </row>
    <row r="5" spans="1:16" ht="16.5" customHeight="1" x14ac:dyDescent="0.2">
      <c r="A5" s="691"/>
      <c r="B5" s="653"/>
      <c r="C5" s="653"/>
      <c r="D5" s="653"/>
      <c r="E5" s="653"/>
      <c r="F5" s="688"/>
      <c r="G5" s="688"/>
      <c r="H5" s="688"/>
      <c r="I5" s="688"/>
      <c r="J5" s="688"/>
      <c r="K5" s="688"/>
      <c r="L5" s="688"/>
      <c r="M5" s="688"/>
      <c r="N5" s="688"/>
      <c r="O5" s="653"/>
      <c r="P5" s="653"/>
    </row>
    <row r="6" spans="1:16" ht="30" x14ac:dyDescent="0.2">
      <c r="A6" s="691"/>
      <c r="B6" s="653"/>
      <c r="C6" s="653"/>
      <c r="D6" s="273" t="s">
        <v>70</v>
      </c>
      <c r="E6" s="273" t="s">
        <v>47</v>
      </c>
      <c r="F6" s="275" t="s">
        <v>5</v>
      </c>
      <c r="G6" s="275" t="s">
        <v>7</v>
      </c>
      <c r="H6" s="275" t="s">
        <v>67</v>
      </c>
      <c r="I6" s="275" t="s">
        <v>5</v>
      </c>
      <c r="J6" s="275" t="s">
        <v>7</v>
      </c>
      <c r="K6" s="275" t="s">
        <v>5</v>
      </c>
      <c r="L6" s="275" t="s">
        <v>7</v>
      </c>
      <c r="M6" s="275" t="s">
        <v>5</v>
      </c>
      <c r="N6" s="275" t="s">
        <v>7</v>
      </c>
      <c r="O6" s="275" t="s">
        <v>65</v>
      </c>
      <c r="P6" s="273" t="s">
        <v>66</v>
      </c>
    </row>
    <row r="7" spans="1:16" ht="15" x14ac:dyDescent="0.2">
      <c r="A7" s="277">
        <v>1</v>
      </c>
      <c r="B7" s="277">
        <v>2</v>
      </c>
      <c r="C7" s="273">
        <v>3</v>
      </c>
      <c r="D7" s="273">
        <v>4</v>
      </c>
      <c r="E7" s="273">
        <v>5</v>
      </c>
      <c r="F7" s="273">
        <v>6</v>
      </c>
      <c r="G7" s="273">
        <v>7</v>
      </c>
      <c r="H7" s="273">
        <v>8</v>
      </c>
      <c r="I7" s="273">
        <v>9</v>
      </c>
      <c r="J7" s="273">
        <v>10</v>
      </c>
      <c r="K7" s="273">
        <v>11</v>
      </c>
      <c r="L7" s="273">
        <v>12</v>
      </c>
      <c r="M7" s="273">
        <v>13</v>
      </c>
      <c r="N7" s="273">
        <v>14</v>
      </c>
      <c r="O7" s="273">
        <v>15</v>
      </c>
      <c r="P7" s="273">
        <v>16</v>
      </c>
    </row>
    <row r="8" spans="1:16" ht="14.25" x14ac:dyDescent="0.2">
      <c r="A8" s="693" t="s">
        <v>52</v>
      </c>
      <c r="B8" s="693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693"/>
      <c r="P8" s="693"/>
    </row>
    <row r="9" spans="1:16" ht="30" x14ac:dyDescent="0.2">
      <c r="A9" s="277">
        <v>1</v>
      </c>
      <c r="B9" s="277">
        <v>89861</v>
      </c>
      <c r="C9" s="140" t="s">
        <v>698</v>
      </c>
      <c r="D9" s="273">
        <v>415.125</v>
      </c>
      <c r="E9" s="273">
        <v>11</v>
      </c>
      <c r="F9" s="273"/>
      <c r="G9" s="273"/>
      <c r="H9" s="273"/>
      <c r="I9" s="273">
        <f>E9</f>
        <v>11</v>
      </c>
      <c r="J9" s="165">
        <f>I9*100/E9</f>
        <v>100</v>
      </c>
      <c r="K9" s="273">
        <f>I9</f>
        <v>11</v>
      </c>
      <c r="L9" s="273">
        <v>100</v>
      </c>
      <c r="M9" s="273">
        <f>I9</f>
        <v>11</v>
      </c>
      <c r="N9" s="273">
        <v>100</v>
      </c>
      <c r="O9" s="355" t="s">
        <v>763</v>
      </c>
      <c r="P9" s="273">
        <v>2021</v>
      </c>
    </row>
    <row r="10" spans="1:16" ht="15" x14ac:dyDescent="0.2">
      <c r="A10" s="690" t="s">
        <v>57</v>
      </c>
      <c r="B10" s="690"/>
      <c r="C10" s="690"/>
      <c r="D10" s="276">
        <f>D9</f>
        <v>415.125</v>
      </c>
      <c r="E10" s="276">
        <f>E9</f>
        <v>11</v>
      </c>
      <c r="F10" s="276"/>
      <c r="G10" s="276"/>
      <c r="H10" s="276"/>
      <c r="I10" s="276">
        <f>I9</f>
        <v>11</v>
      </c>
      <c r="J10" s="161">
        <f>I10*100/E10</f>
        <v>100</v>
      </c>
      <c r="K10" s="276">
        <f>K9</f>
        <v>11</v>
      </c>
      <c r="L10" s="161">
        <f>L9</f>
        <v>100</v>
      </c>
      <c r="M10" s="276">
        <f>M9</f>
        <v>11</v>
      </c>
      <c r="N10" s="161">
        <f>N9</f>
        <v>100</v>
      </c>
      <c r="O10" s="123" t="s">
        <v>95</v>
      </c>
      <c r="P10" s="86" t="s">
        <v>95</v>
      </c>
    </row>
    <row r="11" spans="1:16" ht="14.25" x14ac:dyDescent="0.2">
      <c r="A11" s="693" t="s">
        <v>60</v>
      </c>
      <c r="B11" s="693"/>
      <c r="C11" s="693"/>
      <c r="D11" s="693"/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O11" s="693"/>
      <c r="P11" s="693"/>
    </row>
    <row r="12" spans="1:16" ht="30" x14ac:dyDescent="0.2">
      <c r="A12" s="278">
        <v>1</v>
      </c>
      <c r="B12" s="268">
        <v>1948113</v>
      </c>
      <c r="C12" s="144" t="s">
        <v>224</v>
      </c>
      <c r="D12" s="166">
        <v>272.01</v>
      </c>
      <c r="E12" s="166">
        <v>6</v>
      </c>
      <c r="F12" s="278"/>
      <c r="G12" s="278"/>
      <c r="H12" s="278"/>
      <c r="I12" s="278">
        <v>6</v>
      </c>
      <c r="J12" s="165">
        <f>I12*100/E12</f>
        <v>100</v>
      </c>
      <c r="K12" s="273">
        <v>6</v>
      </c>
      <c r="L12" s="165">
        <f>K12*100/E12</f>
        <v>100</v>
      </c>
      <c r="M12" s="273">
        <v>6</v>
      </c>
      <c r="N12" s="165">
        <f>M12*100/E12</f>
        <v>100</v>
      </c>
      <c r="O12" s="355" t="s">
        <v>767</v>
      </c>
      <c r="P12" s="355">
        <v>2021</v>
      </c>
    </row>
    <row r="13" spans="1:16" ht="30" x14ac:dyDescent="0.2">
      <c r="A13" s="278">
        <v>3</v>
      </c>
      <c r="B13" s="268">
        <v>1948112</v>
      </c>
      <c r="C13" s="144" t="s">
        <v>353</v>
      </c>
      <c r="D13" s="166">
        <v>3.8</v>
      </c>
      <c r="E13" s="166">
        <v>3.8</v>
      </c>
      <c r="F13" s="278"/>
      <c r="G13" s="278"/>
      <c r="H13" s="278"/>
      <c r="I13" s="278">
        <v>0</v>
      </c>
      <c r="J13" s="165">
        <f t="shared" ref="J13:J14" si="0">I13*100/E13</f>
        <v>0</v>
      </c>
      <c r="K13" s="273">
        <v>3.8</v>
      </c>
      <c r="L13" s="165">
        <f t="shared" ref="L13:L15" si="1">K13*100/E13</f>
        <v>100</v>
      </c>
      <c r="M13" s="273">
        <v>3.8</v>
      </c>
      <c r="N13" s="165">
        <f t="shared" ref="N13:N15" si="2">M13*100/E13</f>
        <v>100</v>
      </c>
      <c r="O13" s="355" t="s">
        <v>767</v>
      </c>
      <c r="P13" s="355">
        <v>2021</v>
      </c>
    </row>
    <row r="14" spans="1:16" ht="30" x14ac:dyDescent="0.2">
      <c r="A14" s="278">
        <v>5</v>
      </c>
      <c r="B14" s="268">
        <v>1948140</v>
      </c>
      <c r="C14" s="144" t="s">
        <v>234</v>
      </c>
      <c r="D14" s="166">
        <v>1.1000000000000001</v>
      </c>
      <c r="E14" s="166">
        <v>1.1000000000000001</v>
      </c>
      <c r="F14" s="278"/>
      <c r="G14" s="278"/>
      <c r="H14" s="278"/>
      <c r="I14" s="278">
        <v>1.1000000000000001</v>
      </c>
      <c r="J14" s="165">
        <f t="shared" si="0"/>
        <v>100</v>
      </c>
      <c r="K14" s="273">
        <v>1.1000000000000001</v>
      </c>
      <c r="L14" s="165">
        <f t="shared" si="1"/>
        <v>100</v>
      </c>
      <c r="M14" s="273">
        <v>1.1000000000000001</v>
      </c>
      <c r="N14" s="165">
        <f t="shared" si="2"/>
        <v>100</v>
      </c>
      <c r="O14" s="355" t="s">
        <v>767</v>
      </c>
      <c r="P14" s="355">
        <v>2021</v>
      </c>
    </row>
    <row r="15" spans="1:16" ht="15" x14ac:dyDescent="0.2">
      <c r="A15" s="278">
        <v>9</v>
      </c>
      <c r="B15" s="154">
        <v>1948142</v>
      </c>
      <c r="C15" s="167" t="s">
        <v>354</v>
      </c>
      <c r="D15" s="166">
        <v>78.531000000000006</v>
      </c>
      <c r="E15" s="166">
        <v>3.4</v>
      </c>
      <c r="F15" s="273"/>
      <c r="G15" s="273"/>
      <c r="H15" s="273"/>
      <c r="I15" s="273">
        <v>0</v>
      </c>
      <c r="J15" s="165">
        <f>I15*100/E15</f>
        <v>0</v>
      </c>
      <c r="K15" s="273">
        <v>1</v>
      </c>
      <c r="L15" s="165">
        <f t="shared" si="1"/>
        <v>29.411764705882355</v>
      </c>
      <c r="M15" s="273">
        <v>3.4</v>
      </c>
      <c r="N15" s="165">
        <f t="shared" si="2"/>
        <v>100</v>
      </c>
      <c r="O15" s="355" t="s">
        <v>767</v>
      </c>
      <c r="P15" s="355">
        <v>2021</v>
      </c>
    </row>
    <row r="16" spans="1:16" ht="15" x14ac:dyDescent="0.2">
      <c r="A16" s="690" t="s">
        <v>57</v>
      </c>
      <c r="B16" s="690"/>
      <c r="C16" s="690"/>
      <c r="D16" s="177">
        <f>SUM(D12:D15)</f>
        <v>355.44100000000003</v>
      </c>
      <c r="E16" s="177">
        <f>SUM(E12:E15)</f>
        <v>14.3</v>
      </c>
      <c r="F16" s="276"/>
      <c r="G16" s="276"/>
      <c r="H16" s="276"/>
      <c r="I16" s="177">
        <f>SUM(I12:I15)</f>
        <v>7.1</v>
      </c>
      <c r="J16" s="161">
        <f>SUM(J12:J15)/9</f>
        <v>22.222222222222221</v>
      </c>
      <c r="K16" s="177">
        <f>SUM(K12:K15)</f>
        <v>11.9</v>
      </c>
      <c r="L16" s="161">
        <f>SUM(L12:L15)/9</f>
        <v>36.601307189542489</v>
      </c>
      <c r="M16" s="177">
        <f>SUM(M12:M15)</f>
        <v>14.3</v>
      </c>
      <c r="N16" s="161">
        <f>SUM(N12:N15)/9</f>
        <v>44.444444444444443</v>
      </c>
      <c r="O16" s="276"/>
      <c r="P16" s="86"/>
    </row>
    <row r="17" spans="1:16" ht="14.25" x14ac:dyDescent="0.2">
      <c r="A17" s="693" t="s">
        <v>56</v>
      </c>
      <c r="B17" s="693"/>
      <c r="C17" s="693"/>
      <c r="D17" s="693"/>
      <c r="E17" s="693"/>
      <c r="F17" s="693"/>
      <c r="G17" s="693"/>
      <c r="H17" s="693"/>
      <c r="I17" s="693"/>
      <c r="J17" s="693"/>
      <c r="K17" s="693"/>
      <c r="L17" s="693"/>
      <c r="M17" s="693"/>
      <c r="N17" s="693"/>
      <c r="O17" s="693"/>
      <c r="P17" s="693"/>
    </row>
    <row r="18" spans="1:16" ht="15" x14ac:dyDescent="0.2">
      <c r="A18" s="228"/>
      <c r="B18" s="229"/>
      <c r="C18" s="230" t="s">
        <v>152</v>
      </c>
      <c r="D18" s="231">
        <f>SUM(D20:D89)</f>
        <v>130.78600000000003</v>
      </c>
      <c r="E18" s="231">
        <f>SUM(E20:E89)</f>
        <v>130.78600000000003</v>
      </c>
      <c r="F18" s="231">
        <f>SUM(F20:F88)</f>
        <v>0</v>
      </c>
      <c r="G18" s="232"/>
      <c r="H18" s="233"/>
      <c r="I18" s="231">
        <f>SUM(I20:I88)</f>
        <v>43.20000000000001</v>
      </c>
      <c r="J18" s="234">
        <f>I18*100/D18</f>
        <v>33.031058370161944</v>
      </c>
      <c r="K18" s="231">
        <f>SUM(K20:K88)</f>
        <v>55.610000000000007</v>
      </c>
      <c r="L18" s="233">
        <f>K18*100/D18</f>
        <v>42.519841573257075</v>
      </c>
      <c r="M18" s="231">
        <f>SUM(M20:M88)</f>
        <v>109.69500000000002</v>
      </c>
      <c r="N18" s="235">
        <f>M18*100/E18</f>
        <v>83.873656201734121</v>
      </c>
      <c r="O18" s="233"/>
      <c r="P18" s="233"/>
    </row>
    <row r="19" spans="1:16" ht="15" x14ac:dyDescent="0.25">
      <c r="A19" s="169">
        <v>27</v>
      </c>
      <c r="B19" s="170">
        <v>2446912</v>
      </c>
      <c r="C19" s="327" t="s">
        <v>357</v>
      </c>
      <c r="D19" s="172">
        <v>0.75</v>
      </c>
      <c r="E19" s="172">
        <v>0.75</v>
      </c>
      <c r="F19" s="172"/>
      <c r="G19" s="166"/>
      <c r="H19" s="141"/>
      <c r="I19" s="141">
        <v>0</v>
      </c>
      <c r="J19" s="173">
        <f t="shared" ref="J19:J82" si="3">I19*100/D19</f>
        <v>0</v>
      </c>
      <c r="K19" s="141">
        <v>0</v>
      </c>
      <c r="L19" s="165">
        <f t="shared" ref="L19:L82" si="4">K19*100/E19</f>
        <v>0</v>
      </c>
      <c r="M19" s="141">
        <v>0.75</v>
      </c>
      <c r="N19" s="165">
        <f t="shared" ref="N19:N82" si="5">M19*100/E19</f>
        <v>100</v>
      </c>
      <c r="O19" s="141" t="s">
        <v>670</v>
      </c>
      <c r="P19" s="236">
        <v>2024</v>
      </c>
    </row>
    <row r="20" spans="1:16" ht="15" x14ac:dyDescent="0.25">
      <c r="A20" s="169">
        <v>84</v>
      </c>
      <c r="B20" s="170">
        <v>2449010</v>
      </c>
      <c r="C20" s="327" t="s">
        <v>358</v>
      </c>
      <c r="D20" s="172">
        <v>0.86</v>
      </c>
      <c r="E20" s="172">
        <v>0.86</v>
      </c>
      <c r="F20" s="172"/>
      <c r="G20" s="166"/>
      <c r="H20" s="141"/>
      <c r="I20" s="141">
        <v>0.3</v>
      </c>
      <c r="J20" s="173">
        <f t="shared" si="3"/>
        <v>34.883720930232556</v>
      </c>
      <c r="K20" s="141">
        <v>0.3</v>
      </c>
      <c r="L20" s="165">
        <f t="shared" si="4"/>
        <v>34.883720930232556</v>
      </c>
      <c r="M20" s="141">
        <v>0.3</v>
      </c>
      <c r="N20" s="165">
        <f t="shared" si="5"/>
        <v>34.883720930232556</v>
      </c>
      <c r="O20" s="355" t="s">
        <v>767</v>
      </c>
      <c r="P20" s="355">
        <v>2021</v>
      </c>
    </row>
    <row r="21" spans="1:16" ht="15" x14ac:dyDescent="0.25">
      <c r="A21" s="169">
        <v>89</v>
      </c>
      <c r="B21" s="170" t="s">
        <v>359</v>
      </c>
      <c r="C21" s="327" t="s">
        <v>360</v>
      </c>
      <c r="D21" s="172">
        <v>0.59</v>
      </c>
      <c r="E21" s="172">
        <v>0.59</v>
      </c>
      <c r="F21" s="172"/>
      <c r="G21" s="166"/>
      <c r="H21" s="141"/>
      <c r="I21" s="141">
        <v>0</v>
      </c>
      <c r="J21" s="173">
        <f t="shared" si="3"/>
        <v>0</v>
      </c>
      <c r="K21" s="141">
        <v>0</v>
      </c>
      <c r="L21" s="165">
        <f t="shared" si="4"/>
        <v>0</v>
      </c>
      <c r="M21" s="141">
        <v>0.59</v>
      </c>
      <c r="N21" s="165">
        <f t="shared" si="5"/>
        <v>100</v>
      </c>
      <c r="O21" s="141" t="s">
        <v>670</v>
      </c>
      <c r="P21" s="236">
        <v>2024</v>
      </c>
    </row>
    <row r="22" spans="1:16" ht="15" x14ac:dyDescent="0.25">
      <c r="A22" s="169">
        <v>90</v>
      </c>
      <c r="B22" s="170" t="s">
        <v>361</v>
      </c>
      <c r="C22" s="327" t="s">
        <v>362</v>
      </c>
      <c r="D22" s="172">
        <v>2.06</v>
      </c>
      <c r="E22" s="172">
        <v>2.06</v>
      </c>
      <c r="F22" s="172"/>
      <c r="G22" s="166"/>
      <c r="H22" s="141"/>
      <c r="I22" s="141">
        <v>2.06</v>
      </c>
      <c r="J22" s="173">
        <f t="shared" si="3"/>
        <v>100</v>
      </c>
      <c r="K22" s="141">
        <v>2.06</v>
      </c>
      <c r="L22" s="165">
        <f t="shared" si="4"/>
        <v>100</v>
      </c>
      <c r="M22" s="141">
        <v>2.06</v>
      </c>
      <c r="N22" s="165">
        <f t="shared" si="5"/>
        <v>100</v>
      </c>
      <c r="O22" s="355" t="s">
        <v>767</v>
      </c>
      <c r="P22" s="355">
        <v>2021</v>
      </c>
    </row>
    <row r="23" spans="1:16" ht="15" x14ac:dyDescent="0.25">
      <c r="A23" s="169">
        <v>91</v>
      </c>
      <c r="B23" s="170" t="s">
        <v>363</v>
      </c>
      <c r="C23" s="327" t="s">
        <v>356</v>
      </c>
      <c r="D23" s="172">
        <v>0.76</v>
      </c>
      <c r="E23" s="172">
        <f>D23</f>
        <v>0.76</v>
      </c>
      <c r="F23" s="172"/>
      <c r="G23" s="166"/>
      <c r="H23" s="141"/>
      <c r="I23" s="141">
        <v>0</v>
      </c>
      <c r="J23" s="173">
        <f t="shared" si="3"/>
        <v>0</v>
      </c>
      <c r="K23" s="141">
        <v>0</v>
      </c>
      <c r="L23" s="165">
        <f t="shared" si="4"/>
        <v>0</v>
      </c>
      <c r="M23" s="141">
        <v>0.76</v>
      </c>
      <c r="N23" s="165">
        <f t="shared" si="5"/>
        <v>100</v>
      </c>
      <c r="O23" s="141" t="s">
        <v>670</v>
      </c>
      <c r="P23" s="236">
        <v>2022</v>
      </c>
    </row>
    <row r="24" spans="1:16" ht="15" x14ac:dyDescent="0.25">
      <c r="A24" s="169">
        <v>94</v>
      </c>
      <c r="B24" s="170" t="s">
        <v>364</v>
      </c>
      <c r="C24" s="327" t="s">
        <v>365</v>
      </c>
      <c r="D24" s="172">
        <v>0.85</v>
      </c>
      <c r="E24" s="172">
        <v>0.85</v>
      </c>
      <c r="F24" s="172"/>
      <c r="G24" s="166"/>
      <c r="H24" s="141"/>
      <c r="I24" s="141">
        <v>0.85</v>
      </c>
      <c r="J24" s="173">
        <f t="shared" si="3"/>
        <v>100</v>
      </c>
      <c r="K24" s="141">
        <v>0.85</v>
      </c>
      <c r="L24" s="165">
        <f t="shared" si="4"/>
        <v>100</v>
      </c>
      <c r="M24" s="141">
        <v>0.85</v>
      </c>
      <c r="N24" s="165">
        <f t="shared" si="5"/>
        <v>100</v>
      </c>
      <c r="O24" s="355" t="s">
        <v>767</v>
      </c>
      <c r="P24" s="355">
        <v>2021</v>
      </c>
    </row>
    <row r="25" spans="1:16" ht="15" x14ac:dyDescent="0.25">
      <c r="A25" s="169">
        <v>99</v>
      </c>
      <c r="B25" s="170" t="s">
        <v>366</v>
      </c>
      <c r="C25" s="327" t="s">
        <v>367</v>
      </c>
      <c r="D25" s="172">
        <v>1.45</v>
      </c>
      <c r="E25" s="172">
        <v>1.45</v>
      </c>
      <c r="F25" s="172"/>
      <c r="G25" s="166"/>
      <c r="H25" s="141"/>
      <c r="I25" s="141">
        <v>1.45</v>
      </c>
      <c r="J25" s="173">
        <f t="shared" si="3"/>
        <v>100</v>
      </c>
      <c r="K25" s="141">
        <v>1.45</v>
      </c>
      <c r="L25" s="165">
        <f t="shared" si="4"/>
        <v>100</v>
      </c>
      <c r="M25" s="141">
        <v>1.45</v>
      </c>
      <c r="N25" s="165">
        <f t="shared" si="5"/>
        <v>100</v>
      </c>
      <c r="O25" s="141" t="s">
        <v>670</v>
      </c>
      <c r="P25" s="236">
        <v>2023</v>
      </c>
    </row>
    <row r="26" spans="1:16" ht="15" x14ac:dyDescent="0.25">
      <c r="A26" s="169">
        <v>108</v>
      </c>
      <c r="B26" s="170" t="s">
        <v>369</v>
      </c>
      <c r="C26" s="327" t="s">
        <v>370</v>
      </c>
      <c r="D26" s="172">
        <v>1.92</v>
      </c>
      <c r="E26" s="172">
        <v>1.92</v>
      </c>
      <c r="F26" s="172"/>
      <c r="G26" s="166"/>
      <c r="H26" s="141"/>
      <c r="I26" s="141">
        <v>0</v>
      </c>
      <c r="J26" s="173">
        <f t="shared" si="3"/>
        <v>0</v>
      </c>
      <c r="K26" s="141">
        <v>0</v>
      </c>
      <c r="L26" s="165">
        <f t="shared" si="4"/>
        <v>0</v>
      </c>
      <c r="M26" s="141">
        <v>1.92</v>
      </c>
      <c r="N26" s="165">
        <f t="shared" si="5"/>
        <v>100</v>
      </c>
      <c r="O26" s="141" t="s">
        <v>670</v>
      </c>
      <c r="P26" s="236">
        <v>2024</v>
      </c>
    </row>
    <row r="27" spans="1:16" ht="15" x14ac:dyDescent="0.25">
      <c r="A27" s="169">
        <v>111</v>
      </c>
      <c r="B27" s="170" t="s">
        <v>371</v>
      </c>
      <c r="C27" s="327" t="s">
        <v>372</v>
      </c>
      <c r="D27" s="172">
        <v>0.66</v>
      </c>
      <c r="E27" s="172">
        <v>0.66</v>
      </c>
      <c r="F27" s="172"/>
      <c r="G27" s="166"/>
      <c r="H27" s="141"/>
      <c r="I27" s="141">
        <v>0.5</v>
      </c>
      <c r="J27" s="173">
        <f t="shared" si="3"/>
        <v>75.757575757575751</v>
      </c>
      <c r="K27" s="141">
        <v>0.5</v>
      </c>
      <c r="L27" s="165">
        <f t="shared" si="4"/>
        <v>75.757575757575751</v>
      </c>
      <c r="M27" s="141">
        <v>0.5</v>
      </c>
      <c r="N27" s="165">
        <f t="shared" si="5"/>
        <v>75.757575757575751</v>
      </c>
      <c r="O27" s="355" t="s">
        <v>767</v>
      </c>
      <c r="P27" s="355">
        <v>2021</v>
      </c>
    </row>
    <row r="28" spans="1:16" ht="15" x14ac:dyDescent="0.25">
      <c r="A28" s="169">
        <v>126</v>
      </c>
      <c r="B28" s="170" t="s">
        <v>374</v>
      </c>
      <c r="C28" s="327" t="s">
        <v>375</v>
      </c>
      <c r="D28" s="172">
        <v>0.89</v>
      </c>
      <c r="E28" s="172">
        <v>0.89</v>
      </c>
      <c r="F28" s="172"/>
      <c r="G28" s="166"/>
      <c r="H28" s="141"/>
      <c r="I28" s="141">
        <v>0</v>
      </c>
      <c r="J28" s="173">
        <f t="shared" si="3"/>
        <v>0</v>
      </c>
      <c r="K28" s="141">
        <v>0</v>
      </c>
      <c r="L28" s="165">
        <f t="shared" si="4"/>
        <v>0</v>
      </c>
      <c r="M28" s="141">
        <v>0.89</v>
      </c>
      <c r="N28" s="165">
        <f t="shared" si="5"/>
        <v>100</v>
      </c>
      <c r="O28" s="141" t="s">
        <v>670</v>
      </c>
      <c r="P28" s="236">
        <v>2020</v>
      </c>
    </row>
    <row r="29" spans="1:16" s="237" customFormat="1" ht="15" x14ac:dyDescent="0.25">
      <c r="A29" s="169">
        <v>128</v>
      </c>
      <c r="B29" s="170">
        <v>2448871</v>
      </c>
      <c r="C29" s="327" t="s">
        <v>458</v>
      </c>
      <c r="D29" s="172">
        <v>1.1000000000000001</v>
      </c>
      <c r="E29" s="172">
        <v>1.1000000000000001</v>
      </c>
      <c r="F29" s="172"/>
      <c r="G29" s="166"/>
      <c r="H29" s="141"/>
      <c r="I29" s="141">
        <v>0</v>
      </c>
      <c r="J29" s="173">
        <f t="shared" si="3"/>
        <v>0</v>
      </c>
      <c r="K29" s="141">
        <v>0</v>
      </c>
      <c r="L29" s="173">
        <f t="shared" si="4"/>
        <v>0</v>
      </c>
      <c r="M29" s="141">
        <v>1.1000000000000001</v>
      </c>
      <c r="N29" s="173">
        <f t="shared" si="5"/>
        <v>100</v>
      </c>
      <c r="O29" s="141" t="s">
        <v>670</v>
      </c>
      <c r="P29" s="236">
        <v>2021</v>
      </c>
    </row>
    <row r="30" spans="1:16" ht="15" x14ac:dyDescent="0.25">
      <c r="A30" s="169">
        <v>130</v>
      </c>
      <c r="B30" s="170" t="s">
        <v>376</v>
      </c>
      <c r="C30" s="327" t="s">
        <v>377</v>
      </c>
      <c r="D30" s="172">
        <v>1.19</v>
      </c>
      <c r="E30" s="172">
        <v>1.19</v>
      </c>
      <c r="F30" s="172"/>
      <c r="G30" s="166"/>
      <c r="H30" s="141"/>
      <c r="I30" s="141">
        <v>0</v>
      </c>
      <c r="J30" s="173">
        <f t="shared" si="3"/>
        <v>0</v>
      </c>
      <c r="K30" s="141">
        <v>1</v>
      </c>
      <c r="L30" s="165">
        <f t="shared" si="4"/>
        <v>84.033613445378151</v>
      </c>
      <c r="M30" s="141">
        <v>1</v>
      </c>
      <c r="N30" s="165">
        <f t="shared" si="5"/>
        <v>84.033613445378151</v>
      </c>
      <c r="O30" s="141" t="s">
        <v>670</v>
      </c>
      <c r="P30" s="236">
        <v>2019</v>
      </c>
    </row>
    <row r="31" spans="1:16" ht="15" x14ac:dyDescent="0.25">
      <c r="A31" s="169">
        <v>137</v>
      </c>
      <c r="B31" s="170" t="s">
        <v>378</v>
      </c>
      <c r="C31" s="327" t="s">
        <v>379</v>
      </c>
      <c r="D31" s="172">
        <v>0.53</v>
      </c>
      <c r="E31" s="172">
        <v>0.53</v>
      </c>
      <c r="F31" s="172"/>
      <c r="G31" s="166"/>
      <c r="H31" s="141"/>
      <c r="I31" s="141">
        <v>0</v>
      </c>
      <c r="J31" s="173">
        <f t="shared" si="3"/>
        <v>0</v>
      </c>
      <c r="K31" s="141">
        <v>0</v>
      </c>
      <c r="L31" s="165">
        <f t="shared" si="4"/>
        <v>0</v>
      </c>
      <c r="M31" s="141">
        <v>0.53</v>
      </c>
      <c r="N31" s="165">
        <f t="shared" si="5"/>
        <v>100</v>
      </c>
      <c r="O31" s="141" t="s">
        <v>670</v>
      </c>
      <c r="P31" s="236">
        <v>2021</v>
      </c>
    </row>
    <row r="32" spans="1:16" ht="15" x14ac:dyDescent="0.25">
      <c r="A32" s="169">
        <v>143</v>
      </c>
      <c r="B32" s="170" t="s">
        <v>380</v>
      </c>
      <c r="C32" s="327" t="s">
        <v>381</v>
      </c>
      <c r="D32" s="172">
        <v>3.62</v>
      </c>
      <c r="E32" s="172">
        <v>3.62</v>
      </c>
      <c r="F32" s="172"/>
      <c r="G32" s="166"/>
      <c r="H32" s="141"/>
      <c r="I32" s="141">
        <v>0</v>
      </c>
      <c r="J32" s="173">
        <f t="shared" si="3"/>
        <v>0</v>
      </c>
      <c r="K32" s="141">
        <v>0</v>
      </c>
      <c r="L32" s="165">
        <f t="shared" si="4"/>
        <v>0</v>
      </c>
      <c r="M32" s="141">
        <v>3.62</v>
      </c>
      <c r="N32" s="165">
        <f t="shared" si="5"/>
        <v>100</v>
      </c>
      <c r="O32" s="141" t="s">
        <v>670</v>
      </c>
      <c r="P32" s="236">
        <v>2022</v>
      </c>
    </row>
    <row r="33" spans="1:16" ht="15" x14ac:dyDescent="0.25">
      <c r="A33" s="169">
        <v>158</v>
      </c>
      <c r="B33" s="170" t="s">
        <v>383</v>
      </c>
      <c r="C33" s="327" t="s">
        <v>384</v>
      </c>
      <c r="D33" s="172">
        <v>0.86699999999999999</v>
      </c>
      <c r="E33" s="172">
        <v>0.86699999999999999</v>
      </c>
      <c r="F33" s="172"/>
      <c r="G33" s="166"/>
      <c r="H33" s="141"/>
      <c r="I33" s="141">
        <v>0</v>
      </c>
      <c r="J33" s="173">
        <f t="shared" si="3"/>
        <v>0</v>
      </c>
      <c r="K33" s="141">
        <v>0</v>
      </c>
      <c r="L33" s="165">
        <f t="shared" si="4"/>
        <v>0</v>
      </c>
      <c r="M33" s="141">
        <v>0.45</v>
      </c>
      <c r="N33" s="165">
        <f t="shared" si="5"/>
        <v>51.903114186851212</v>
      </c>
      <c r="O33" s="141" t="s">
        <v>670</v>
      </c>
      <c r="P33" s="236">
        <v>2021</v>
      </c>
    </row>
    <row r="34" spans="1:16" ht="15" x14ac:dyDescent="0.25">
      <c r="A34" s="169">
        <v>159</v>
      </c>
      <c r="B34" s="170" t="s">
        <v>385</v>
      </c>
      <c r="C34" s="327" t="s">
        <v>386</v>
      </c>
      <c r="D34" s="172">
        <v>2.5099999999999998</v>
      </c>
      <c r="E34" s="172">
        <v>2.5099999999999998</v>
      </c>
      <c r="F34" s="172"/>
      <c r="G34" s="166"/>
      <c r="H34" s="141"/>
      <c r="I34" s="141">
        <v>2</v>
      </c>
      <c r="J34" s="173">
        <f t="shared" si="3"/>
        <v>79.681274900398407</v>
      </c>
      <c r="K34" s="141">
        <v>2</v>
      </c>
      <c r="L34" s="165">
        <f t="shared" si="4"/>
        <v>79.681274900398407</v>
      </c>
      <c r="M34" s="141">
        <v>2</v>
      </c>
      <c r="N34" s="165">
        <f t="shared" si="5"/>
        <v>79.681274900398407</v>
      </c>
      <c r="O34" s="141" t="s">
        <v>670</v>
      </c>
      <c r="P34" s="236">
        <v>2022</v>
      </c>
    </row>
    <row r="35" spans="1:16" ht="15" x14ac:dyDescent="0.25">
      <c r="A35" s="169">
        <v>161</v>
      </c>
      <c r="B35" s="170">
        <v>2448010</v>
      </c>
      <c r="C35" s="327" t="s">
        <v>387</v>
      </c>
      <c r="D35" s="172">
        <v>1.24</v>
      </c>
      <c r="E35" s="172">
        <v>1.24</v>
      </c>
      <c r="F35" s="172"/>
      <c r="G35" s="166"/>
      <c r="H35" s="141"/>
      <c r="I35" s="141">
        <v>0</v>
      </c>
      <c r="J35" s="173">
        <f t="shared" si="3"/>
        <v>0</v>
      </c>
      <c r="K35" s="141">
        <v>0</v>
      </c>
      <c r="L35" s="165">
        <f t="shared" si="4"/>
        <v>0</v>
      </c>
      <c r="M35" s="141">
        <v>1.24</v>
      </c>
      <c r="N35" s="165">
        <f t="shared" si="5"/>
        <v>100</v>
      </c>
      <c r="O35" s="141" t="s">
        <v>670</v>
      </c>
      <c r="P35" s="236">
        <v>2021</v>
      </c>
    </row>
    <row r="36" spans="1:16" ht="15" x14ac:dyDescent="0.25">
      <c r="A36" s="169">
        <v>162</v>
      </c>
      <c r="B36" s="170" t="s">
        <v>388</v>
      </c>
      <c r="C36" s="327" t="s">
        <v>389</v>
      </c>
      <c r="D36" s="172">
        <v>1.89</v>
      </c>
      <c r="E36" s="172">
        <v>1.89</v>
      </c>
      <c r="F36" s="172"/>
      <c r="G36" s="166"/>
      <c r="H36" s="141"/>
      <c r="I36" s="141">
        <v>1</v>
      </c>
      <c r="J36" s="173">
        <f t="shared" si="3"/>
        <v>52.910052910052912</v>
      </c>
      <c r="K36" s="141">
        <v>1</v>
      </c>
      <c r="L36" s="165">
        <f t="shared" si="4"/>
        <v>52.910052910052912</v>
      </c>
      <c r="M36" s="141">
        <v>1</v>
      </c>
      <c r="N36" s="165">
        <f t="shared" si="5"/>
        <v>52.910052910052912</v>
      </c>
      <c r="O36" s="141" t="s">
        <v>670</v>
      </c>
      <c r="P36" s="236">
        <v>2022</v>
      </c>
    </row>
    <row r="37" spans="1:16" ht="15" x14ac:dyDescent="0.25">
      <c r="A37" s="169">
        <v>163</v>
      </c>
      <c r="B37" s="170">
        <v>2448995</v>
      </c>
      <c r="C37" s="327" t="s">
        <v>390</v>
      </c>
      <c r="D37" s="172">
        <v>6.07</v>
      </c>
      <c r="E37" s="172">
        <v>6.07</v>
      </c>
      <c r="F37" s="172"/>
      <c r="G37" s="166"/>
      <c r="H37" s="141"/>
      <c r="I37" s="141">
        <v>3.96</v>
      </c>
      <c r="J37" s="173">
        <f t="shared" si="3"/>
        <v>65.238879736408563</v>
      </c>
      <c r="K37" s="141">
        <v>3.96</v>
      </c>
      <c r="L37" s="165">
        <f t="shared" si="4"/>
        <v>65.238879736408563</v>
      </c>
      <c r="M37" s="141">
        <v>3.96</v>
      </c>
      <c r="N37" s="165">
        <f t="shared" si="5"/>
        <v>65.238879736408563</v>
      </c>
      <c r="O37" s="141" t="s">
        <v>670</v>
      </c>
      <c r="P37" s="236">
        <v>2022</v>
      </c>
    </row>
    <row r="38" spans="1:16" ht="15" x14ac:dyDescent="0.25">
      <c r="A38" s="169">
        <v>164</v>
      </c>
      <c r="B38" s="170" t="s">
        <v>391</v>
      </c>
      <c r="C38" s="327" t="s">
        <v>392</v>
      </c>
      <c r="D38" s="172">
        <v>0.70399999999999996</v>
      </c>
      <c r="E38" s="172">
        <v>0.70399999999999996</v>
      </c>
      <c r="F38" s="172"/>
      <c r="G38" s="166"/>
      <c r="H38" s="141"/>
      <c r="I38" s="141">
        <v>0</v>
      </c>
      <c r="J38" s="173">
        <f t="shared" si="3"/>
        <v>0</v>
      </c>
      <c r="K38" s="141">
        <v>0</v>
      </c>
      <c r="L38" s="165">
        <f t="shared" si="4"/>
        <v>0</v>
      </c>
      <c r="M38" s="141">
        <v>0</v>
      </c>
      <c r="N38" s="165">
        <f t="shared" si="5"/>
        <v>0</v>
      </c>
      <c r="O38" s="141" t="s">
        <v>670</v>
      </c>
      <c r="P38" s="236">
        <v>2022</v>
      </c>
    </row>
    <row r="39" spans="1:16" ht="15" x14ac:dyDescent="0.25">
      <c r="A39" s="169">
        <v>166</v>
      </c>
      <c r="B39" s="170" t="s">
        <v>393</v>
      </c>
      <c r="C39" s="327" t="s">
        <v>394</v>
      </c>
      <c r="D39" s="172">
        <v>1.72</v>
      </c>
      <c r="E39" s="172">
        <v>1.72</v>
      </c>
      <c r="F39" s="172"/>
      <c r="G39" s="166"/>
      <c r="H39" s="141"/>
      <c r="I39" s="141">
        <v>1</v>
      </c>
      <c r="J39" s="173">
        <f t="shared" si="3"/>
        <v>58.139534883720934</v>
      </c>
      <c r="K39" s="141">
        <v>1.4</v>
      </c>
      <c r="L39" s="165">
        <f t="shared" si="4"/>
        <v>81.395348837209298</v>
      </c>
      <c r="M39" s="141">
        <v>1</v>
      </c>
      <c r="N39" s="165">
        <f t="shared" si="5"/>
        <v>58.139534883720934</v>
      </c>
      <c r="O39" s="141" t="s">
        <v>670</v>
      </c>
      <c r="P39" s="236">
        <v>2022</v>
      </c>
    </row>
    <row r="40" spans="1:16" ht="15" x14ac:dyDescent="0.25">
      <c r="A40" s="169">
        <v>169</v>
      </c>
      <c r="B40" s="170">
        <v>2448183</v>
      </c>
      <c r="C40" s="327" t="s">
        <v>395</v>
      </c>
      <c r="D40" s="172">
        <v>2.0499999999999998</v>
      </c>
      <c r="E40" s="172">
        <v>2.0499999999999998</v>
      </c>
      <c r="F40" s="172"/>
      <c r="G40" s="166"/>
      <c r="H40" s="141"/>
      <c r="I40" s="141">
        <v>1.5</v>
      </c>
      <c r="J40" s="173">
        <f t="shared" si="3"/>
        <v>73.170731707317074</v>
      </c>
      <c r="K40" s="141">
        <v>1.5</v>
      </c>
      <c r="L40" s="165">
        <f t="shared" si="4"/>
        <v>73.170731707317074</v>
      </c>
      <c r="M40" s="141">
        <v>1.86</v>
      </c>
      <c r="N40" s="165">
        <f t="shared" si="5"/>
        <v>90.731707317073173</v>
      </c>
      <c r="O40" s="141" t="s">
        <v>670</v>
      </c>
      <c r="P40" s="236">
        <v>2022</v>
      </c>
    </row>
    <row r="41" spans="1:16" ht="15" x14ac:dyDescent="0.25">
      <c r="A41" s="169">
        <v>174</v>
      </c>
      <c r="B41" s="170" t="s">
        <v>396</v>
      </c>
      <c r="C41" s="327" t="s">
        <v>397</v>
      </c>
      <c r="D41" s="172">
        <v>4.6500000000000004</v>
      </c>
      <c r="E41" s="172">
        <v>4.6500000000000004</v>
      </c>
      <c r="F41" s="172"/>
      <c r="G41" s="166"/>
      <c r="H41" s="141"/>
      <c r="I41" s="141">
        <v>3</v>
      </c>
      <c r="J41" s="173">
        <f t="shared" si="3"/>
        <v>64.516129032258064</v>
      </c>
      <c r="K41" s="141">
        <v>3</v>
      </c>
      <c r="L41" s="173">
        <f t="shared" si="4"/>
        <v>64.516129032258064</v>
      </c>
      <c r="M41" s="141">
        <v>3</v>
      </c>
      <c r="N41" s="165">
        <f t="shared" si="5"/>
        <v>64.516129032258064</v>
      </c>
      <c r="O41" s="141" t="s">
        <v>670</v>
      </c>
      <c r="P41" s="236">
        <v>2023</v>
      </c>
    </row>
    <row r="42" spans="1:16" ht="15" x14ac:dyDescent="0.25">
      <c r="A42" s="169">
        <v>175</v>
      </c>
      <c r="B42" s="170" t="s">
        <v>398</v>
      </c>
      <c r="C42" s="327" t="s">
        <v>399</v>
      </c>
      <c r="D42" s="172">
        <v>1.1499999999999999</v>
      </c>
      <c r="E42" s="172">
        <v>1.1499999999999999</v>
      </c>
      <c r="F42" s="172"/>
      <c r="G42" s="166"/>
      <c r="H42" s="141"/>
      <c r="I42" s="141">
        <v>0.3</v>
      </c>
      <c r="J42" s="173">
        <f t="shared" si="3"/>
        <v>26.086956521739133</v>
      </c>
      <c r="K42" s="141">
        <v>0.3</v>
      </c>
      <c r="L42" s="173">
        <f t="shared" si="4"/>
        <v>26.086956521739133</v>
      </c>
      <c r="M42" s="141">
        <v>0</v>
      </c>
      <c r="N42" s="165">
        <f t="shared" si="5"/>
        <v>0</v>
      </c>
      <c r="O42" s="141" t="s">
        <v>670</v>
      </c>
      <c r="P42" s="236">
        <v>2023</v>
      </c>
    </row>
    <row r="43" spans="1:16" ht="15" x14ac:dyDescent="0.25">
      <c r="A43" s="169">
        <v>176</v>
      </c>
      <c r="B43" s="170" t="s">
        <v>400</v>
      </c>
      <c r="C43" s="327" t="s">
        <v>401</v>
      </c>
      <c r="D43" s="172">
        <v>2.09</v>
      </c>
      <c r="E43" s="172">
        <v>2.09</v>
      </c>
      <c r="F43" s="172"/>
      <c r="G43" s="166"/>
      <c r="H43" s="141"/>
      <c r="I43" s="141">
        <v>0</v>
      </c>
      <c r="J43" s="173">
        <f t="shared" si="3"/>
        <v>0</v>
      </c>
      <c r="K43" s="141">
        <v>0</v>
      </c>
      <c r="L43" s="165">
        <f t="shared" si="4"/>
        <v>0</v>
      </c>
      <c r="M43" s="141">
        <v>2.09</v>
      </c>
      <c r="N43" s="165">
        <f t="shared" si="5"/>
        <v>100</v>
      </c>
      <c r="O43" s="141" t="s">
        <v>670</v>
      </c>
      <c r="P43" s="236">
        <v>2020</v>
      </c>
    </row>
    <row r="44" spans="1:16" ht="15" x14ac:dyDescent="0.25">
      <c r="A44" s="169">
        <v>180</v>
      </c>
      <c r="B44" s="170">
        <v>2447951</v>
      </c>
      <c r="C44" s="327" t="s">
        <v>402</v>
      </c>
      <c r="D44" s="172">
        <v>3.5</v>
      </c>
      <c r="E44" s="172">
        <v>3.5</v>
      </c>
      <c r="F44" s="172"/>
      <c r="G44" s="166"/>
      <c r="H44" s="141"/>
      <c r="I44" s="141">
        <v>2.87</v>
      </c>
      <c r="J44" s="173">
        <f t="shared" si="3"/>
        <v>82</v>
      </c>
      <c r="K44" s="141">
        <v>3.5</v>
      </c>
      <c r="L44" s="165">
        <f t="shared" si="4"/>
        <v>100</v>
      </c>
      <c r="M44" s="141">
        <v>3.5</v>
      </c>
      <c r="N44" s="165">
        <f t="shared" si="5"/>
        <v>100</v>
      </c>
      <c r="O44" s="141" t="s">
        <v>670</v>
      </c>
      <c r="P44" s="236">
        <v>2019</v>
      </c>
    </row>
    <row r="45" spans="1:16" ht="15" x14ac:dyDescent="0.25">
      <c r="A45" s="169">
        <v>181</v>
      </c>
      <c r="B45" s="170" t="s">
        <v>403</v>
      </c>
      <c r="C45" s="327" t="s">
        <v>404</v>
      </c>
      <c r="D45" s="172">
        <v>2.64</v>
      </c>
      <c r="E45" s="172">
        <v>2.64</v>
      </c>
      <c r="F45" s="172"/>
      <c r="G45" s="166"/>
      <c r="H45" s="141"/>
      <c r="I45" s="141">
        <v>2.4</v>
      </c>
      <c r="J45" s="173">
        <f t="shared" si="3"/>
        <v>90.909090909090907</v>
      </c>
      <c r="K45" s="141">
        <v>2.4</v>
      </c>
      <c r="L45" s="173">
        <f t="shared" si="4"/>
        <v>90.909090909090907</v>
      </c>
      <c r="M45" s="141">
        <v>2.64</v>
      </c>
      <c r="N45" s="165">
        <f t="shared" si="5"/>
        <v>100</v>
      </c>
      <c r="O45" s="141" t="s">
        <v>670</v>
      </c>
      <c r="P45" s="236">
        <v>2021</v>
      </c>
    </row>
    <row r="46" spans="1:16" ht="15" x14ac:dyDescent="0.25">
      <c r="A46" s="169">
        <v>184</v>
      </c>
      <c r="B46" s="170" t="s">
        <v>405</v>
      </c>
      <c r="C46" s="327" t="s">
        <v>406</v>
      </c>
      <c r="D46" s="172">
        <v>0.96</v>
      </c>
      <c r="E46" s="172">
        <v>0.96</v>
      </c>
      <c r="F46" s="172"/>
      <c r="G46" s="166"/>
      <c r="H46" s="141"/>
      <c r="I46" s="141">
        <v>0</v>
      </c>
      <c r="J46" s="173">
        <f t="shared" si="3"/>
        <v>0</v>
      </c>
      <c r="K46" s="141">
        <v>0.7</v>
      </c>
      <c r="L46" s="165">
        <f t="shared" si="4"/>
        <v>72.916666666666671</v>
      </c>
      <c r="M46" s="141">
        <v>0.7</v>
      </c>
      <c r="N46" s="165">
        <f t="shared" si="5"/>
        <v>72.916666666666671</v>
      </c>
      <c r="O46" s="141" t="s">
        <v>670</v>
      </c>
      <c r="P46" s="236">
        <v>2019</v>
      </c>
    </row>
    <row r="47" spans="1:16" ht="15" x14ac:dyDescent="0.25">
      <c r="A47" s="169">
        <v>185</v>
      </c>
      <c r="B47" s="170" t="s">
        <v>407</v>
      </c>
      <c r="C47" s="327" t="s">
        <v>408</v>
      </c>
      <c r="D47" s="172">
        <v>1.79</v>
      </c>
      <c r="E47" s="172">
        <v>1.79</v>
      </c>
      <c r="F47" s="172"/>
      <c r="G47" s="166"/>
      <c r="H47" s="141"/>
      <c r="I47" s="141">
        <v>0</v>
      </c>
      <c r="J47" s="173">
        <f t="shared" si="3"/>
        <v>0</v>
      </c>
      <c r="K47" s="141">
        <v>0</v>
      </c>
      <c r="L47" s="165">
        <f t="shared" si="4"/>
        <v>0</v>
      </c>
      <c r="M47" s="141">
        <v>1.79</v>
      </c>
      <c r="N47" s="165">
        <f t="shared" si="5"/>
        <v>100</v>
      </c>
      <c r="O47" s="141" t="s">
        <v>670</v>
      </c>
      <c r="P47" s="236">
        <v>2021</v>
      </c>
    </row>
    <row r="48" spans="1:16" ht="15" x14ac:dyDescent="0.25">
      <c r="A48" s="169">
        <v>186</v>
      </c>
      <c r="B48" s="170">
        <v>2447603</v>
      </c>
      <c r="C48" s="327" t="s">
        <v>409</v>
      </c>
      <c r="D48" s="172">
        <v>1.59</v>
      </c>
      <c r="E48" s="172">
        <v>1.59</v>
      </c>
      <c r="F48" s="172"/>
      <c r="G48" s="166"/>
      <c r="H48" s="141"/>
      <c r="I48" s="141">
        <v>0.66</v>
      </c>
      <c r="J48" s="173">
        <f t="shared" si="3"/>
        <v>41.509433962264147</v>
      </c>
      <c r="K48" s="141">
        <v>1.59</v>
      </c>
      <c r="L48" s="165">
        <f t="shared" si="4"/>
        <v>100</v>
      </c>
      <c r="M48" s="141">
        <v>1.59</v>
      </c>
      <c r="N48" s="165">
        <f t="shared" si="5"/>
        <v>100</v>
      </c>
      <c r="O48" s="141" t="s">
        <v>670</v>
      </c>
      <c r="P48" s="236">
        <v>2019</v>
      </c>
    </row>
    <row r="49" spans="1:16" ht="15" x14ac:dyDescent="0.25">
      <c r="A49" s="169">
        <v>194</v>
      </c>
      <c r="B49" s="170" t="s">
        <v>410</v>
      </c>
      <c r="C49" s="327" t="s">
        <v>411</v>
      </c>
      <c r="D49" s="172">
        <v>2.5</v>
      </c>
      <c r="E49" s="172">
        <v>2.5</v>
      </c>
      <c r="F49" s="172"/>
      <c r="G49" s="166"/>
      <c r="H49" s="141"/>
      <c r="I49" s="141">
        <v>1.5</v>
      </c>
      <c r="J49" s="173">
        <f t="shared" si="3"/>
        <v>60</v>
      </c>
      <c r="K49" s="141">
        <v>2.5</v>
      </c>
      <c r="L49" s="165">
        <f t="shared" si="4"/>
        <v>100</v>
      </c>
      <c r="M49" s="141">
        <v>2.5</v>
      </c>
      <c r="N49" s="165">
        <f t="shared" si="5"/>
        <v>100</v>
      </c>
      <c r="O49" s="141" t="s">
        <v>670</v>
      </c>
      <c r="P49" s="236">
        <v>2021</v>
      </c>
    </row>
    <row r="50" spans="1:16" ht="15" x14ac:dyDescent="0.25">
      <c r="A50" s="169">
        <v>209</v>
      </c>
      <c r="B50" s="170" t="s">
        <v>412</v>
      </c>
      <c r="C50" s="327" t="s">
        <v>413</v>
      </c>
      <c r="D50" s="172">
        <v>7.7</v>
      </c>
      <c r="E50" s="172">
        <v>7.7</v>
      </c>
      <c r="F50" s="172"/>
      <c r="G50" s="166"/>
      <c r="H50" s="141"/>
      <c r="I50" s="141">
        <v>7.7</v>
      </c>
      <c r="J50" s="173">
        <f t="shared" si="3"/>
        <v>100</v>
      </c>
      <c r="K50" s="141">
        <v>7.7</v>
      </c>
      <c r="L50" s="165">
        <f t="shared" si="4"/>
        <v>100</v>
      </c>
      <c r="M50" s="141">
        <v>7.7</v>
      </c>
      <c r="N50" s="165">
        <f t="shared" si="5"/>
        <v>100</v>
      </c>
      <c r="O50" s="141" t="s">
        <v>670</v>
      </c>
      <c r="P50" s="236">
        <v>2021</v>
      </c>
    </row>
    <row r="51" spans="1:16" ht="15" x14ac:dyDescent="0.25">
      <c r="A51" s="169">
        <v>219</v>
      </c>
      <c r="B51" s="170" t="s">
        <v>417</v>
      </c>
      <c r="C51" s="327" t="s">
        <v>418</v>
      </c>
      <c r="D51" s="172">
        <v>0.51</v>
      </c>
      <c r="E51" s="172">
        <v>0.51</v>
      </c>
      <c r="F51" s="172"/>
      <c r="G51" s="166"/>
      <c r="H51" s="141"/>
      <c r="I51" s="141">
        <v>0.28000000000000003</v>
      </c>
      <c r="J51" s="173">
        <f t="shared" si="3"/>
        <v>54.901960784313729</v>
      </c>
      <c r="K51" s="141">
        <v>0.51</v>
      </c>
      <c r="L51" s="165">
        <f t="shared" si="4"/>
        <v>100</v>
      </c>
      <c r="M51" s="141">
        <v>0.51</v>
      </c>
      <c r="N51" s="165">
        <f t="shared" si="5"/>
        <v>100</v>
      </c>
      <c r="O51" s="141" t="s">
        <v>670</v>
      </c>
      <c r="P51" s="236">
        <v>2019</v>
      </c>
    </row>
    <row r="52" spans="1:16" ht="15" x14ac:dyDescent="0.25">
      <c r="A52" s="169">
        <v>218</v>
      </c>
      <c r="B52" s="170" t="s">
        <v>415</v>
      </c>
      <c r="C52" s="327" t="s">
        <v>416</v>
      </c>
      <c r="D52" s="172">
        <v>0.49</v>
      </c>
      <c r="E52" s="172">
        <v>0.49</v>
      </c>
      <c r="F52" s="172"/>
      <c r="G52" s="166"/>
      <c r="H52" s="141"/>
      <c r="I52" s="141">
        <v>0.49</v>
      </c>
      <c r="J52" s="173">
        <f t="shared" si="3"/>
        <v>100</v>
      </c>
      <c r="K52" s="141">
        <v>0.49</v>
      </c>
      <c r="L52" s="165">
        <f t="shared" si="4"/>
        <v>100</v>
      </c>
      <c r="M52" s="141">
        <v>0.49</v>
      </c>
      <c r="N52" s="165">
        <f t="shared" si="5"/>
        <v>100</v>
      </c>
      <c r="O52" s="141" t="s">
        <v>670</v>
      </c>
      <c r="P52" s="236">
        <v>2021</v>
      </c>
    </row>
    <row r="53" spans="1:16" s="201" customFormat="1" ht="15" x14ac:dyDescent="0.25">
      <c r="A53" s="194">
        <v>221</v>
      </c>
      <c r="B53" s="195" t="s">
        <v>419</v>
      </c>
      <c r="C53" s="327" t="s">
        <v>420</v>
      </c>
      <c r="D53" s="199">
        <v>0.52</v>
      </c>
      <c r="E53" s="199">
        <v>0.52</v>
      </c>
      <c r="F53" s="199"/>
      <c r="G53" s="196"/>
      <c r="H53" s="197"/>
      <c r="I53" s="197">
        <v>0.2</v>
      </c>
      <c r="J53" s="173">
        <f t="shared" si="3"/>
        <v>38.46153846153846</v>
      </c>
      <c r="K53" s="197">
        <v>0.2</v>
      </c>
      <c r="L53" s="198">
        <f t="shared" si="4"/>
        <v>38.46153846153846</v>
      </c>
      <c r="M53" s="197">
        <v>0</v>
      </c>
      <c r="N53" s="165">
        <f t="shared" si="5"/>
        <v>0</v>
      </c>
      <c r="O53" s="141" t="s">
        <v>670</v>
      </c>
      <c r="P53" s="236">
        <v>2023</v>
      </c>
    </row>
    <row r="54" spans="1:16" ht="15" x14ac:dyDescent="0.25">
      <c r="A54" s="169">
        <v>226</v>
      </c>
      <c r="B54" s="170" t="s">
        <v>421</v>
      </c>
      <c r="C54" s="327" t="s">
        <v>422</v>
      </c>
      <c r="D54" s="172">
        <v>0.41</v>
      </c>
      <c r="E54" s="172">
        <v>0.41</v>
      </c>
      <c r="F54" s="172"/>
      <c r="G54" s="166"/>
      <c r="H54" s="141"/>
      <c r="I54" s="141">
        <v>0</v>
      </c>
      <c r="J54" s="173">
        <f t="shared" si="3"/>
        <v>0</v>
      </c>
      <c r="K54" s="141">
        <v>0</v>
      </c>
      <c r="L54" s="165">
        <f t="shared" si="4"/>
        <v>0</v>
      </c>
      <c r="M54" s="141">
        <v>0.41</v>
      </c>
      <c r="N54" s="165">
        <f t="shared" si="5"/>
        <v>100</v>
      </c>
      <c r="O54" s="141" t="s">
        <v>670</v>
      </c>
      <c r="P54" s="236">
        <v>2024</v>
      </c>
    </row>
    <row r="55" spans="1:16" ht="15" x14ac:dyDescent="0.25">
      <c r="A55" s="169">
        <v>228</v>
      </c>
      <c r="B55" s="170">
        <v>2447125</v>
      </c>
      <c r="C55" s="327" t="s">
        <v>423</v>
      </c>
      <c r="D55" s="172">
        <v>2.09</v>
      </c>
      <c r="E55" s="172">
        <v>2.09</v>
      </c>
      <c r="F55" s="172"/>
      <c r="G55" s="166"/>
      <c r="H55" s="141"/>
      <c r="I55" s="141">
        <v>0</v>
      </c>
      <c r="J55" s="173">
        <f t="shared" si="3"/>
        <v>0</v>
      </c>
      <c r="K55" s="141">
        <v>0</v>
      </c>
      <c r="L55" s="165">
        <f t="shared" si="4"/>
        <v>0</v>
      </c>
      <c r="M55" s="141">
        <v>2.09</v>
      </c>
      <c r="N55" s="165">
        <f t="shared" si="5"/>
        <v>100</v>
      </c>
      <c r="O55" s="141" t="s">
        <v>670</v>
      </c>
      <c r="P55" s="236">
        <v>2024</v>
      </c>
    </row>
    <row r="56" spans="1:16" ht="15" x14ac:dyDescent="0.25">
      <c r="A56" s="169">
        <v>232</v>
      </c>
      <c r="B56" s="170" t="s">
        <v>424</v>
      </c>
      <c r="C56" s="327" t="s">
        <v>425</v>
      </c>
      <c r="D56" s="172">
        <v>1.23</v>
      </c>
      <c r="E56" s="172">
        <v>1.23</v>
      </c>
      <c r="F56" s="172"/>
      <c r="G56" s="166"/>
      <c r="H56" s="141"/>
      <c r="I56" s="141">
        <v>0.2</v>
      </c>
      <c r="J56" s="173">
        <f t="shared" si="3"/>
        <v>16.260162601626018</v>
      </c>
      <c r="K56" s="141">
        <v>0.2</v>
      </c>
      <c r="L56" s="165">
        <f t="shared" si="4"/>
        <v>16.260162601626018</v>
      </c>
      <c r="M56" s="141">
        <v>0.2</v>
      </c>
      <c r="N56" s="165">
        <f t="shared" si="5"/>
        <v>16.260162601626018</v>
      </c>
      <c r="O56" s="141" t="s">
        <v>670</v>
      </c>
      <c r="P56" s="236">
        <v>2023</v>
      </c>
    </row>
    <row r="57" spans="1:16" ht="15" x14ac:dyDescent="0.25">
      <c r="A57" s="169">
        <v>234</v>
      </c>
      <c r="B57" s="170" t="s">
        <v>426</v>
      </c>
      <c r="C57" s="327" t="s">
        <v>427</v>
      </c>
      <c r="D57" s="172">
        <v>0.44</v>
      </c>
      <c r="E57" s="172">
        <v>0.44</v>
      </c>
      <c r="F57" s="172"/>
      <c r="G57" s="166"/>
      <c r="H57" s="141"/>
      <c r="I57" s="141">
        <v>0</v>
      </c>
      <c r="J57" s="173">
        <f t="shared" si="3"/>
        <v>0</v>
      </c>
      <c r="K57" s="141">
        <v>0</v>
      </c>
      <c r="L57" s="165">
        <f t="shared" si="4"/>
        <v>0</v>
      </c>
      <c r="M57" s="141">
        <v>0.44</v>
      </c>
      <c r="N57" s="165">
        <f t="shared" si="5"/>
        <v>100</v>
      </c>
      <c r="O57" s="141" t="s">
        <v>670</v>
      </c>
      <c r="P57" s="236">
        <v>2024</v>
      </c>
    </row>
    <row r="58" spans="1:16" ht="15" x14ac:dyDescent="0.25">
      <c r="A58" s="169">
        <v>235</v>
      </c>
      <c r="B58" s="170" t="s">
        <v>428</v>
      </c>
      <c r="C58" s="327" t="s">
        <v>429</v>
      </c>
      <c r="D58" s="172">
        <v>1.28</v>
      </c>
      <c r="E58" s="172">
        <v>1.28</v>
      </c>
      <c r="F58" s="172"/>
      <c r="G58" s="166"/>
      <c r="H58" s="141"/>
      <c r="I58" s="141">
        <v>0.1</v>
      </c>
      <c r="J58" s="173">
        <f t="shared" si="3"/>
        <v>7.8125</v>
      </c>
      <c r="K58" s="141">
        <v>0.74</v>
      </c>
      <c r="L58" s="165">
        <f t="shared" si="4"/>
        <v>57.8125</v>
      </c>
      <c r="M58" s="141">
        <v>0.74</v>
      </c>
      <c r="N58" s="165">
        <f t="shared" si="5"/>
        <v>57.8125</v>
      </c>
      <c r="O58" s="141" t="s">
        <v>670</v>
      </c>
      <c r="P58" s="236">
        <v>2023</v>
      </c>
    </row>
    <row r="59" spans="1:16" ht="15" x14ac:dyDescent="0.25">
      <c r="A59" s="169">
        <v>239</v>
      </c>
      <c r="B59" s="170" t="s">
        <v>431</v>
      </c>
      <c r="C59" s="327" t="s">
        <v>432</v>
      </c>
      <c r="D59" s="172">
        <v>2.0499999999999998</v>
      </c>
      <c r="E59" s="172">
        <v>2.0499999999999998</v>
      </c>
      <c r="F59" s="172"/>
      <c r="G59" s="166"/>
      <c r="H59" s="141"/>
      <c r="I59" s="141">
        <v>2.0499999999999998</v>
      </c>
      <c r="J59" s="173">
        <f t="shared" si="3"/>
        <v>100</v>
      </c>
      <c r="K59" s="141">
        <v>2.0499999999999998</v>
      </c>
      <c r="L59" s="165">
        <f t="shared" si="4"/>
        <v>100</v>
      </c>
      <c r="M59" s="141">
        <v>2.0499999999999998</v>
      </c>
      <c r="N59" s="165">
        <f t="shared" si="5"/>
        <v>100</v>
      </c>
      <c r="O59" s="141" t="s">
        <v>670</v>
      </c>
      <c r="P59" s="236">
        <v>2020</v>
      </c>
    </row>
    <row r="60" spans="1:16" ht="15" x14ac:dyDescent="0.25">
      <c r="A60" s="169">
        <v>240</v>
      </c>
      <c r="B60" s="170" t="s">
        <v>433</v>
      </c>
      <c r="C60" s="327" t="s">
        <v>434</v>
      </c>
      <c r="D60" s="172">
        <v>1.19</v>
      </c>
      <c r="E60" s="172">
        <v>1.19</v>
      </c>
      <c r="F60" s="172"/>
      <c r="G60" s="166"/>
      <c r="H60" s="141"/>
      <c r="I60" s="141">
        <v>0</v>
      </c>
      <c r="J60" s="173">
        <f t="shared" si="3"/>
        <v>0</v>
      </c>
      <c r="K60" s="141">
        <v>0.82</v>
      </c>
      <c r="L60" s="165">
        <f t="shared" si="4"/>
        <v>68.907563025210081</v>
      </c>
      <c r="M60" s="141">
        <v>0.82</v>
      </c>
      <c r="N60" s="165">
        <f t="shared" si="5"/>
        <v>68.907563025210081</v>
      </c>
      <c r="O60" s="141" t="s">
        <v>670</v>
      </c>
      <c r="P60" s="236">
        <v>2019</v>
      </c>
    </row>
    <row r="61" spans="1:16" ht="15" x14ac:dyDescent="0.25">
      <c r="A61" s="169">
        <v>243</v>
      </c>
      <c r="B61" s="170">
        <v>2447932</v>
      </c>
      <c r="C61" s="327" t="s">
        <v>435</v>
      </c>
      <c r="D61" s="172">
        <v>1.95</v>
      </c>
      <c r="E61" s="172">
        <v>1.95</v>
      </c>
      <c r="F61" s="172"/>
      <c r="G61" s="166"/>
      <c r="H61" s="141"/>
      <c r="I61" s="141">
        <v>0</v>
      </c>
      <c r="J61" s="173">
        <f t="shared" si="3"/>
        <v>0</v>
      </c>
      <c r="K61" s="141">
        <v>0</v>
      </c>
      <c r="L61" s="165">
        <f t="shared" si="4"/>
        <v>0</v>
      </c>
      <c r="M61" s="141">
        <v>0.55000000000000004</v>
      </c>
      <c r="N61" s="165">
        <f t="shared" si="5"/>
        <v>28.205128205128208</v>
      </c>
      <c r="O61" s="141" t="s">
        <v>670</v>
      </c>
      <c r="P61" s="236">
        <v>2024</v>
      </c>
    </row>
    <row r="62" spans="1:16" ht="15" x14ac:dyDescent="0.25">
      <c r="A62" s="169">
        <v>254</v>
      </c>
      <c r="B62" s="170" t="s">
        <v>438</v>
      </c>
      <c r="C62" s="327" t="s">
        <v>439</v>
      </c>
      <c r="D62" s="172">
        <v>1.34</v>
      </c>
      <c r="E62" s="172">
        <v>1.34</v>
      </c>
      <c r="F62" s="172"/>
      <c r="G62" s="166"/>
      <c r="H62" s="141"/>
      <c r="I62" s="141">
        <v>0.6</v>
      </c>
      <c r="J62" s="173">
        <f t="shared" si="3"/>
        <v>44.776119402985074</v>
      </c>
      <c r="K62" s="141">
        <v>1.1000000000000001</v>
      </c>
      <c r="L62" s="165">
        <f t="shared" si="4"/>
        <v>82.089552238805979</v>
      </c>
      <c r="M62" s="141">
        <v>1.34</v>
      </c>
      <c r="N62" s="165">
        <f t="shared" si="5"/>
        <v>100</v>
      </c>
      <c r="O62" s="141" t="s">
        <v>670</v>
      </c>
      <c r="P62" s="236">
        <v>2019</v>
      </c>
    </row>
    <row r="63" spans="1:16" ht="15" x14ac:dyDescent="0.25">
      <c r="A63" s="169">
        <v>256</v>
      </c>
      <c r="B63" s="170">
        <v>2446918</v>
      </c>
      <c r="C63" s="327" t="s">
        <v>440</v>
      </c>
      <c r="D63" s="172">
        <v>1.1399999999999999</v>
      </c>
      <c r="E63" s="172">
        <v>1.1399999999999999</v>
      </c>
      <c r="F63" s="172"/>
      <c r="G63" s="166"/>
      <c r="H63" s="141"/>
      <c r="I63" s="141">
        <v>0</v>
      </c>
      <c r="J63" s="173">
        <f t="shared" si="3"/>
        <v>0</v>
      </c>
      <c r="K63" s="141">
        <v>0</v>
      </c>
      <c r="L63" s="165">
        <f t="shared" si="4"/>
        <v>0</v>
      </c>
      <c r="M63" s="141">
        <v>1.1399999999999999</v>
      </c>
      <c r="N63" s="165">
        <f t="shared" si="5"/>
        <v>100</v>
      </c>
      <c r="O63" s="141" t="s">
        <v>670</v>
      </c>
      <c r="P63" s="236">
        <v>2023</v>
      </c>
    </row>
    <row r="64" spans="1:16" ht="15" x14ac:dyDescent="0.25">
      <c r="A64" s="169">
        <v>259</v>
      </c>
      <c r="B64" s="170" t="s">
        <v>441</v>
      </c>
      <c r="C64" s="327" t="s">
        <v>442</v>
      </c>
      <c r="D64" s="172">
        <v>3.74</v>
      </c>
      <c r="E64" s="172">
        <v>3.74</v>
      </c>
      <c r="F64" s="172"/>
      <c r="G64" s="166"/>
      <c r="H64" s="141"/>
      <c r="I64" s="141">
        <v>3</v>
      </c>
      <c r="J64" s="173">
        <f t="shared" si="3"/>
        <v>80.213903743315498</v>
      </c>
      <c r="K64" s="141">
        <v>3</v>
      </c>
      <c r="L64" s="165">
        <f t="shared" si="4"/>
        <v>80.213903743315498</v>
      </c>
      <c r="M64" s="141">
        <v>3.2</v>
      </c>
      <c r="N64" s="165">
        <f t="shared" si="5"/>
        <v>85.561497326203209</v>
      </c>
      <c r="O64" s="141" t="s">
        <v>670</v>
      </c>
      <c r="P64" s="236">
        <v>2021</v>
      </c>
    </row>
    <row r="65" spans="1:16" ht="15" x14ac:dyDescent="0.25">
      <c r="A65" s="169">
        <v>263</v>
      </c>
      <c r="B65" s="170" t="s">
        <v>443</v>
      </c>
      <c r="C65" s="327" t="s">
        <v>444</v>
      </c>
      <c r="D65" s="172">
        <v>0.72</v>
      </c>
      <c r="E65" s="172">
        <v>0.72</v>
      </c>
      <c r="F65" s="172"/>
      <c r="G65" s="166"/>
      <c r="H65" s="141"/>
      <c r="I65" s="141">
        <v>0</v>
      </c>
      <c r="J65" s="173">
        <f t="shared" si="3"/>
        <v>0</v>
      </c>
      <c r="K65" s="141">
        <v>0</v>
      </c>
      <c r="L65" s="165">
        <f t="shared" si="4"/>
        <v>0</v>
      </c>
      <c r="M65" s="141">
        <v>0.72</v>
      </c>
      <c r="N65" s="165">
        <f t="shared" si="5"/>
        <v>100</v>
      </c>
      <c r="O65" s="141" t="s">
        <v>670</v>
      </c>
      <c r="P65" s="236">
        <v>2022</v>
      </c>
    </row>
    <row r="66" spans="1:16" ht="15" x14ac:dyDescent="0.25">
      <c r="A66" s="169">
        <v>266</v>
      </c>
      <c r="B66" s="170">
        <v>2448900</v>
      </c>
      <c r="C66" s="327" t="s">
        <v>447</v>
      </c>
      <c r="D66" s="172">
        <v>1.0649999999999999</v>
      </c>
      <c r="E66" s="172">
        <v>1.0649999999999999</v>
      </c>
      <c r="F66" s="172"/>
      <c r="G66" s="166"/>
      <c r="H66" s="141"/>
      <c r="I66" s="141">
        <v>0</v>
      </c>
      <c r="J66" s="173">
        <f t="shared" si="3"/>
        <v>0</v>
      </c>
      <c r="K66" s="141">
        <v>0</v>
      </c>
      <c r="L66" s="165">
        <f t="shared" si="4"/>
        <v>0</v>
      </c>
      <c r="M66" s="141">
        <v>1.0649999999999999</v>
      </c>
      <c r="N66" s="165">
        <f t="shared" si="5"/>
        <v>100</v>
      </c>
      <c r="O66" s="141" t="s">
        <v>670</v>
      </c>
      <c r="P66" s="236">
        <v>2023</v>
      </c>
    </row>
    <row r="67" spans="1:16" ht="15" x14ac:dyDescent="0.25">
      <c r="A67" s="169"/>
      <c r="B67" s="170">
        <v>2447851</v>
      </c>
      <c r="C67" s="327" t="s">
        <v>448</v>
      </c>
      <c r="D67" s="172">
        <v>1.38</v>
      </c>
      <c r="E67" s="172">
        <v>1.38</v>
      </c>
      <c r="F67" s="172"/>
      <c r="G67" s="166"/>
      <c r="H67" s="141"/>
      <c r="I67" s="141">
        <v>0</v>
      </c>
      <c r="J67" s="173">
        <f t="shared" si="3"/>
        <v>0</v>
      </c>
      <c r="K67" s="141">
        <v>0</v>
      </c>
      <c r="L67" s="165">
        <f t="shared" si="4"/>
        <v>0</v>
      </c>
      <c r="M67" s="141">
        <v>1.38</v>
      </c>
      <c r="N67" s="165">
        <f t="shared" si="5"/>
        <v>100.00000000000001</v>
      </c>
      <c r="O67" s="141" t="s">
        <v>670</v>
      </c>
      <c r="P67" s="236">
        <v>2023</v>
      </c>
    </row>
    <row r="68" spans="1:16" ht="15" x14ac:dyDescent="0.25">
      <c r="A68" s="169">
        <v>282</v>
      </c>
      <c r="B68" s="170" t="s">
        <v>449</v>
      </c>
      <c r="C68" s="327" t="s">
        <v>450</v>
      </c>
      <c r="D68" s="172">
        <v>1.43</v>
      </c>
      <c r="E68" s="172">
        <v>1.43</v>
      </c>
      <c r="F68" s="172"/>
      <c r="G68" s="166"/>
      <c r="H68" s="141"/>
      <c r="I68" s="141">
        <v>0</v>
      </c>
      <c r="J68" s="173">
        <f t="shared" si="3"/>
        <v>0</v>
      </c>
      <c r="K68" s="141">
        <v>0</v>
      </c>
      <c r="L68" s="165">
        <f t="shared" si="4"/>
        <v>0</v>
      </c>
      <c r="M68" s="141">
        <v>1.43</v>
      </c>
      <c r="N68" s="165">
        <f t="shared" si="5"/>
        <v>100</v>
      </c>
      <c r="O68" s="141" t="s">
        <v>670</v>
      </c>
      <c r="P68" s="236">
        <v>2022</v>
      </c>
    </row>
    <row r="69" spans="1:16" ht="15" x14ac:dyDescent="0.25">
      <c r="A69" s="169">
        <v>288</v>
      </c>
      <c r="B69" s="170" t="s">
        <v>452</v>
      </c>
      <c r="C69" s="327" t="s">
        <v>453</v>
      </c>
      <c r="D69" s="172">
        <v>3.55</v>
      </c>
      <c r="E69" s="172">
        <v>3.55</v>
      </c>
      <c r="F69" s="172"/>
      <c r="G69" s="166"/>
      <c r="H69" s="141"/>
      <c r="I69" s="141">
        <v>0</v>
      </c>
      <c r="J69" s="173">
        <f t="shared" si="3"/>
        <v>0</v>
      </c>
      <c r="K69" s="141">
        <v>0</v>
      </c>
      <c r="L69" s="165">
        <f t="shared" si="4"/>
        <v>0</v>
      </c>
      <c r="M69" s="141">
        <v>3.55</v>
      </c>
      <c r="N69" s="165">
        <f t="shared" si="5"/>
        <v>100</v>
      </c>
      <c r="O69" s="141" t="s">
        <v>670</v>
      </c>
      <c r="P69" s="236">
        <v>2024</v>
      </c>
    </row>
    <row r="70" spans="1:16" ht="15" x14ac:dyDescent="0.25">
      <c r="A70" s="169">
        <v>293</v>
      </c>
      <c r="B70" s="170" t="s">
        <v>454</v>
      </c>
      <c r="C70" s="327" t="s">
        <v>455</v>
      </c>
      <c r="D70" s="172">
        <v>1.76</v>
      </c>
      <c r="E70" s="172">
        <v>1.76</v>
      </c>
      <c r="F70" s="172"/>
      <c r="G70" s="166"/>
      <c r="H70" s="141"/>
      <c r="I70" s="141">
        <v>0</v>
      </c>
      <c r="J70" s="173">
        <f t="shared" si="3"/>
        <v>0</v>
      </c>
      <c r="K70" s="141">
        <v>0</v>
      </c>
      <c r="L70" s="165">
        <f t="shared" si="4"/>
        <v>0</v>
      </c>
      <c r="M70" s="141">
        <v>1.76</v>
      </c>
      <c r="N70" s="165">
        <f t="shared" si="5"/>
        <v>100</v>
      </c>
      <c r="O70" s="141" t="s">
        <v>670</v>
      </c>
      <c r="P70" s="236">
        <v>2023</v>
      </c>
    </row>
    <row r="71" spans="1:16" ht="15" x14ac:dyDescent="0.25">
      <c r="A71" s="169">
        <v>294</v>
      </c>
      <c r="B71" s="170" t="s">
        <v>456</v>
      </c>
      <c r="C71" s="327" t="s">
        <v>457</v>
      </c>
      <c r="D71" s="172">
        <v>3.81</v>
      </c>
      <c r="E71" s="172">
        <v>3.81</v>
      </c>
      <c r="F71" s="172"/>
      <c r="G71" s="166"/>
      <c r="H71" s="141"/>
      <c r="I71" s="141">
        <v>0</v>
      </c>
      <c r="J71" s="173">
        <f t="shared" si="3"/>
        <v>0</v>
      </c>
      <c r="K71" s="141">
        <v>0</v>
      </c>
      <c r="L71" s="165">
        <f t="shared" si="4"/>
        <v>0</v>
      </c>
      <c r="M71" s="141">
        <v>3.81</v>
      </c>
      <c r="N71" s="165">
        <f t="shared" si="5"/>
        <v>100</v>
      </c>
      <c r="O71" s="141" t="s">
        <v>670</v>
      </c>
      <c r="P71" s="236">
        <v>2021</v>
      </c>
    </row>
    <row r="72" spans="1:16" ht="15" x14ac:dyDescent="0.25">
      <c r="A72" s="169">
        <v>297</v>
      </c>
      <c r="B72" s="170" t="s">
        <v>459</v>
      </c>
      <c r="C72" s="327" t="s">
        <v>460</v>
      </c>
      <c r="D72" s="172">
        <v>4.01</v>
      </c>
      <c r="E72" s="172">
        <v>4.01</v>
      </c>
      <c r="F72" s="172"/>
      <c r="G72" s="166"/>
      <c r="H72" s="141"/>
      <c r="I72" s="141">
        <v>0</v>
      </c>
      <c r="J72" s="173">
        <f t="shared" si="3"/>
        <v>0</v>
      </c>
      <c r="K72" s="141">
        <v>0</v>
      </c>
      <c r="L72" s="165">
        <f t="shared" si="4"/>
        <v>0</v>
      </c>
      <c r="M72" s="141">
        <v>3.1</v>
      </c>
      <c r="N72" s="165">
        <f t="shared" si="5"/>
        <v>77.306733167082299</v>
      </c>
      <c r="O72" s="141" t="s">
        <v>670</v>
      </c>
      <c r="P72" s="236">
        <v>2023</v>
      </c>
    </row>
    <row r="73" spans="1:16" ht="15" x14ac:dyDescent="0.25">
      <c r="A73" s="169">
        <v>298</v>
      </c>
      <c r="B73" s="170" t="s">
        <v>461</v>
      </c>
      <c r="C73" s="327" t="s">
        <v>462</v>
      </c>
      <c r="D73" s="172">
        <v>5.47</v>
      </c>
      <c r="E73" s="172">
        <v>5.47</v>
      </c>
      <c r="F73" s="172"/>
      <c r="G73" s="166"/>
      <c r="H73" s="141"/>
      <c r="I73" s="141">
        <v>0.43</v>
      </c>
      <c r="J73" s="173">
        <f t="shared" si="3"/>
        <v>7.8610603290676417</v>
      </c>
      <c r="K73" s="141">
        <v>0.43</v>
      </c>
      <c r="L73" s="165">
        <f t="shared" si="4"/>
        <v>7.8610603290676417</v>
      </c>
      <c r="M73" s="141">
        <v>3.9</v>
      </c>
      <c r="N73" s="165">
        <f t="shared" si="5"/>
        <v>71.297989031078615</v>
      </c>
      <c r="O73" s="141" t="s">
        <v>670</v>
      </c>
      <c r="P73" s="236">
        <v>2020</v>
      </c>
    </row>
    <row r="74" spans="1:16" ht="15" x14ac:dyDescent="0.25">
      <c r="A74" s="169">
        <v>330</v>
      </c>
      <c r="B74" s="170">
        <v>2448397</v>
      </c>
      <c r="C74" s="327" t="s">
        <v>463</v>
      </c>
      <c r="D74" s="172">
        <v>1.67</v>
      </c>
      <c r="E74" s="172">
        <v>1.67</v>
      </c>
      <c r="F74" s="172"/>
      <c r="G74" s="166"/>
      <c r="H74" s="141"/>
      <c r="I74" s="141">
        <v>0.5</v>
      </c>
      <c r="J74" s="173">
        <f t="shared" si="3"/>
        <v>29.940119760479043</v>
      </c>
      <c r="K74" s="141">
        <v>1.36</v>
      </c>
      <c r="L74" s="165">
        <f t="shared" si="4"/>
        <v>81.437125748502993</v>
      </c>
      <c r="M74" s="141">
        <v>1.36</v>
      </c>
      <c r="N74" s="165">
        <f t="shared" si="5"/>
        <v>81.437125748502993</v>
      </c>
      <c r="O74" s="141" t="s">
        <v>670</v>
      </c>
      <c r="P74" s="236">
        <v>2019</v>
      </c>
    </row>
    <row r="75" spans="1:16" ht="15" x14ac:dyDescent="0.25">
      <c r="A75" s="169">
        <v>340</v>
      </c>
      <c r="B75" s="170">
        <v>2448053</v>
      </c>
      <c r="C75" s="327" t="s">
        <v>464</v>
      </c>
      <c r="D75" s="172">
        <v>1.32</v>
      </c>
      <c r="E75" s="172">
        <v>1.32</v>
      </c>
      <c r="F75" s="172"/>
      <c r="G75" s="166"/>
      <c r="H75" s="141"/>
      <c r="I75" s="141">
        <v>0</v>
      </c>
      <c r="J75" s="173">
        <f t="shared" si="3"/>
        <v>0</v>
      </c>
      <c r="K75" s="141">
        <v>0</v>
      </c>
      <c r="L75" s="165">
        <f t="shared" si="4"/>
        <v>0</v>
      </c>
      <c r="M75" s="141">
        <v>0.55000000000000004</v>
      </c>
      <c r="N75" s="165">
        <f t="shared" si="5"/>
        <v>41.666666666666671</v>
      </c>
      <c r="O75" s="141" t="s">
        <v>670</v>
      </c>
      <c r="P75" s="236">
        <v>2024</v>
      </c>
    </row>
    <row r="76" spans="1:16" ht="15" x14ac:dyDescent="0.25">
      <c r="A76" s="169">
        <v>248</v>
      </c>
      <c r="B76" s="170" t="s">
        <v>436</v>
      </c>
      <c r="C76" s="327" t="s">
        <v>465</v>
      </c>
      <c r="D76" s="172">
        <v>0.73</v>
      </c>
      <c r="E76" s="172">
        <v>0.73</v>
      </c>
      <c r="F76" s="172"/>
      <c r="G76" s="166"/>
      <c r="H76" s="141"/>
      <c r="I76" s="141">
        <v>0</v>
      </c>
      <c r="J76" s="173">
        <f>I76*100/D76</f>
        <v>0</v>
      </c>
      <c r="K76" s="141">
        <v>0</v>
      </c>
      <c r="L76" s="165">
        <f>K76*100/E76</f>
        <v>0</v>
      </c>
      <c r="M76" s="141">
        <v>0.73</v>
      </c>
      <c r="N76" s="165">
        <f>M76*100/E76</f>
        <v>100</v>
      </c>
      <c r="O76" s="141" t="s">
        <v>670</v>
      </c>
      <c r="P76" s="236">
        <v>2022</v>
      </c>
    </row>
    <row r="77" spans="1:16" ht="15" x14ac:dyDescent="0.25">
      <c r="A77" s="169">
        <v>346</v>
      </c>
      <c r="B77" s="170" t="s">
        <v>466</v>
      </c>
      <c r="C77" s="327" t="s">
        <v>467</v>
      </c>
      <c r="D77" s="172">
        <v>1.35</v>
      </c>
      <c r="E77" s="172">
        <v>1.35</v>
      </c>
      <c r="F77" s="172"/>
      <c r="G77" s="166"/>
      <c r="H77" s="141"/>
      <c r="I77" s="141">
        <v>0</v>
      </c>
      <c r="J77" s="173">
        <f t="shared" si="3"/>
        <v>0</v>
      </c>
      <c r="K77" s="141">
        <v>0</v>
      </c>
      <c r="L77" s="165">
        <f t="shared" si="4"/>
        <v>0</v>
      </c>
      <c r="M77" s="141">
        <v>1.35</v>
      </c>
      <c r="N77" s="165">
        <f t="shared" si="5"/>
        <v>100</v>
      </c>
      <c r="O77" s="141" t="s">
        <v>670</v>
      </c>
      <c r="P77" s="236">
        <v>2022</v>
      </c>
    </row>
    <row r="78" spans="1:16" ht="15" x14ac:dyDescent="0.25">
      <c r="A78" s="169">
        <v>424</v>
      </c>
      <c r="B78" s="170" t="s">
        <v>468</v>
      </c>
      <c r="C78" s="327" t="s">
        <v>469</v>
      </c>
      <c r="D78" s="172">
        <v>0.48</v>
      </c>
      <c r="E78" s="172">
        <v>0.48</v>
      </c>
      <c r="F78" s="172"/>
      <c r="G78" s="166"/>
      <c r="H78" s="141"/>
      <c r="I78" s="141">
        <v>0</v>
      </c>
      <c r="J78" s="173">
        <f t="shared" si="3"/>
        <v>0</v>
      </c>
      <c r="K78" s="141">
        <v>0</v>
      </c>
      <c r="L78" s="165">
        <f t="shared" si="4"/>
        <v>0</v>
      </c>
      <c r="M78" s="141">
        <v>0.48</v>
      </c>
      <c r="N78" s="165">
        <f t="shared" si="5"/>
        <v>100</v>
      </c>
      <c r="O78" s="141" t="s">
        <v>670</v>
      </c>
      <c r="P78" s="236">
        <v>2021</v>
      </c>
    </row>
    <row r="79" spans="1:16" ht="15" x14ac:dyDescent="0.25">
      <c r="A79" s="169">
        <v>435</v>
      </c>
      <c r="B79" s="170">
        <v>2448887</v>
      </c>
      <c r="C79" s="327" t="s">
        <v>470</v>
      </c>
      <c r="D79" s="172">
        <v>1.57</v>
      </c>
      <c r="E79" s="172">
        <v>1.57</v>
      </c>
      <c r="F79" s="172"/>
      <c r="G79" s="166"/>
      <c r="H79" s="141"/>
      <c r="I79" s="141">
        <v>0</v>
      </c>
      <c r="J79" s="173">
        <f t="shared" si="3"/>
        <v>0</v>
      </c>
      <c r="K79" s="141">
        <v>0</v>
      </c>
      <c r="L79" s="165">
        <f t="shared" si="4"/>
        <v>0</v>
      </c>
      <c r="M79" s="141">
        <v>1.57</v>
      </c>
      <c r="N79" s="165">
        <f t="shared" si="5"/>
        <v>100</v>
      </c>
      <c r="O79" s="141" t="s">
        <v>670</v>
      </c>
      <c r="P79" s="236">
        <v>2020</v>
      </c>
    </row>
    <row r="80" spans="1:16" ht="15" x14ac:dyDescent="0.25">
      <c r="A80" s="169">
        <v>436</v>
      </c>
      <c r="B80" s="170" t="s">
        <v>471</v>
      </c>
      <c r="C80" s="327" t="s">
        <v>472</v>
      </c>
      <c r="D80" s="172">
        <v>0.82</v>
      </c>
      <c r="E80" s="172">
        <v>0.82</v>
      </c>
      <c r="F80" s="172"/>
      <c r="G80" s="166"/>
      <c r="H80" s="141"/>
      <c r="I80" s="141">
        <v>0</v>
      </c>
      <c r="J80" s="173">
        <f t="shared" si="3"/>
        <v>0</v>
      </c>
      <c r="K80" s="141">
        <v>0</v>
      </c>
      <c r="L80" s="165">
        <f t="shared" si="4"/>
        <v>0</v>
      </c>
      <c r="M80" s="141">
        <v>0</v>
      </c>
      <c r="N80" s="165">
        <f t="shared" si="5"/>
        <v>0</v>
      </c>
      <c r="O80" s="141" t="s">
        <v>670</v>
      </c>
      <c r="P80" s="236">
        <v>2024</v>
      </c>
    </row>
    <row r="81" spans="1:16" ht="15" x14ac:dyDescent="0.25">
      <c r="A81" s="169">
        <v>441</v>
      </c>
      <c r="B81" s="170" t="s">
        <v>474</v>
      </c>
      <c r="C81" s="327" t="s">
        <v>475</v>
      </c>
      <c r="D81" s="172">
        <v>1.56</v>
      </c>
      <c r="E81" s="172">
        <v>1.56</v>
      </c>
      <c r="F81" s="172"/>
      <c r="G81" s="166"/>
      <c r="H81" s="141"/>
      <c r="I81" s="141">
        <v>0.5</v>
      </c>
      <c r="J81" s="173">
        <f t="shared" si="3"/>
        <v>32.051282051282051</v>
      </c>
      <c r="K81" s="141">
        <v>0.5</v>
      </c>
      <c r="L81" s="165">
        <f t="shared" si="4"/>
        <v>32.051282051282051</v>
      </c>
      <c r="M81" s="141">
        <v>1.56</v>
      </c>
      <c r="N81" s="165">
        <f t="shared" si="5"/>
        <v>100</v>
      </c>
      <c r="O81" s="141" t="s">
        <v>670</v>
      </c>
      <c r="P81" s="236">
        <v>2019</v>
      </c>
    </row>
    <row r="82" spans="1:16" ht="15" x14ac:dyDescent="0.25">
      <c r="A82" s="169">
        <v>457</v>
      </c>
      <c r="B82" s="170" t="s">
        <v>477</v>
      </c>
      <c r="C82" s="327" t="s">
        <v>478</v>
      </c>
      <c r="D82" s="172">
        <v>1.17</v>
      </c>
      <c r="E82" s="172">
        <v>1.17</v>
      </c>
      <c r="F82" s="172"/>
      <c r="G82" s="166"/>
      <c r="H82" s="141"/>
      <c r="I82" s="141">
        <v>0</v>
      </c>
      <c r="J82" s="173">
        <f t="shared" si="3"/>
        <v>0</v>
      </c>
      <c r="K82" s="141">
        <v>0</v>
      </c>
      <c r="L82" s="165">
        <f t="shared" si="4"/>
        <v>0</v>
      </c>
      <c r="M82" s="141">
        <v>1.17</v>
      </c>
      <c r="N82" s="165">
        <f t="shared" si="5"/>
        <v>100</v>
      </c>
      <c r="O82" s="141" t="s">
        <v>670</v>
      </c>
      <c r="P82" s="236">
        <v>2024</v>
      </c>
    </row>
    <row r="83" spans="1:16" ht="15" x14ac:dyDescent="0.25">
      <c r="A83" s="169">
        <v>483</v>
      </c>
      <c r="B83" s="170">
        <v>2447635</v>
      </c>
      <c r="C83" s="327" t="s">
        <v>671</v>
      </c>
      <c r="D83" s="172">
        <v>1.68</v>
      </c>
      <c r="E83" s="172">
        <v>1.68</v>
      </c>
      <c r="F83" s="172"/>
      <c r="G83" s="166"/>
      <c r="H83" s="141"/>
      <c r="I83" s="141">
        <v>1</v>
      </c>
      <c r="J83" s="173">
        <f t="shared" ref="J83:J122" si="6">I83*100/D83</f>
        <v>59.523809523809526</v>
      </c>
      <c r="K83" s="141">
        <v>1</v>
      </c>
      <c r="L83" s="165">
        <f t="shared" ref="L83:L122" si="7">K83*100/E83</f>
        <v>59.523809523809526</v>
      </c>
      <c r="M83" s="141">
        <v>1.68</v>
      </c>
      <c r="N83" s="165">
        <f t="shared" ref="N83:N123" si="8">M83*100/E83</f>
        <v>100</v>
      </c>
      <c r="O83" s="141" t="s">
        <v>670</v>
      </c>
      <c r="P83" s="236">
        <v>2022</v>
      </c>
    </row>
    <row r="84" spans="1:16" ht="15" x14ac:dyDescent="0.25">
      <c r="A84" s="169">
        <v>265</v>
      </c>
      <c r="B84" s="170" t="s">
        <v>445</v>
      </c>
      <c r="C84" s="327" t="s">
        <v>479</v>
      </c>
      <c r="D84" s="172">
        <v>0.67</v>
      </c>
      <c r="E84" s="172">
        <v>0.67</v>
      </c>
      <c r="F84" s="172"/>
      <c r="G84" s="166"/>
      <c r="H84" s="141"/>
      <c r="I84" s="141">
        <v>0</v>
      </c>
      <c r="J84" s="173">
        <f>I84*100/D84</f>
        <v>0</v>
      </c>
      <c r="K84" s="141">
        <v>0</v>
      </c>
      <c r="L84" s="165">
        <f>K84*100/E84</f>
        <v>0</v>
      </c>
      <c r="M84" s="141">
        <v>0.67</v>
      </c>
      <c r="N84" s="165">
        <f t="shared" si="8"/>
        <v>100</v>
      </c>
      <c r="O84" s="141" t="s">
        <v>670</v>
      </c>
      <c r="P84" s="236">
        <v>2020</v>
      </c>
    </row>
    <row r="85" spans="1:16" ht="15" x14ac:dyDescent="0.25">
      <c r="A85" s="169">
        <v>486</v>
      </c>
      <c r="B85" s="170" t="s">
        <v>480</v>
      </c>
      <c r="C85" s="327" t="s">
        <v>481</v>
      </c>
      <c r="D85" s="172">
        <v>3.3</v>
      </c>
      <c r="E85" s="172">
        <v>3.3</v>
      </c>
      <c r="F85" s="172"/>
      <c r="G85" s="166"/>
      <c r="H85" s="141"/>
      <c r="I85" s="141">
        <v>0</v>
      </c>
      <c r="J85" s="173">
        <f t="shared" si="6"/>
        <v>0</v>
      </c>
      <c r="K85" s="141">
        <v>0</v>
      </c>
      <c r="L85" s="165">
        <f t="shared" si="7"/>
        <v>0</v>
      </c>
      <c r="M85" s="141">
        <v>3.3</v>
      </c>
      <c r="N85" s="165">
        <f t="shared" si="8"/>
        <v>100</v>
      </c>
      <c r="O85" s="141" t="s">
        <v>670</v>
      </c>
      <c r="P85" s="236">
        <v>2023</v>
      </c>
    </row>
    <row r="86" spans="1:16" ht="15" x14ac:dyDescent="0.25">
      <c r="A86" s="169">
        <v>491</v>
      </c>
      <c r="B86" s="170" t="s">
        <v>482</v>
      </c>
      <c r="C86" s="327" t="s">
        <v>483</v>
      </c>
      <c r="D86" s="172">
        <v>1.64</v>
      </c>
      <c r="E86" s="172">
        <v>1.64</v>
      </c>
      <c r="F86" s="172"/>
      <c r="G86" s="166"/>
      <c r="H86" s="141"/>
      <c r="I86" s="141">
        <v>0.8</v>
      </c>
      <c r="J86" s="173">
        <f t="shared" si="6"/>
        <v>48.780487804878049</v>
      </c>
      <c r="K86" s="141">
        <v>0.8</v>
      </c>
      <c r="L86" s="165">
        <f t="shared" si="7"/>
        <v>48.780487804878049</v>
      </c>
      <c r="M86" s="141">
        <v>1.64</v>
      </c>
      <c r="N86" s="165">
        <f t="shared" si="8"/>
        <v>100</v>
      </c>
      <c r="O86" s="141" t="s">
        <v>670</v>
      </c>
      <c r="P86" s="236">
        <v>2021</v>
      </c>
    </row>
    <row r="87" spans="1:16" ht="15" x14ac:dyDescent="0.25">
      <c r="A87" s="169">
        <v>493</v>
      </c>
      <c r="B87" s="170" t="s">
        <v>484</v>
      </c>
      <c r="C87" s="327" t="s">
        <v>485</v>
      </c>
      <c r="D87" s="172">
        <v>1.65</v>
      </c>
      <c r="E87" s="172">
        <v>1.65</v>
      </c>
      <c r="F87" s="172"/>
      <c r="G87" s="166"/>
      <c r="H87" s="141"/>
      <c r="I87" s="141">
        <v>0</v>
      </c>
      <c r="J87" s="173">
        <f t="shared" si="6"/>
        <v>0</v>
      </c>
      <c r="K87" s="141">
        <v>0</v>
      </c>
      <c r="L87" s="165">
        <f t="shared" si="7"/>
        <v>0</v>
      </c>
      <c r="M87" s="141">
        <v>1.65</v>
      </c>
      <c r="N87" s="165">
        <f t="shared" si="8"/>
        <v>100</v>
      </c>
      <c r="O87" s="141" t="s">
        <v>670</v>
      </c>
      <c r="P87" s="236">
        <v>2022</v>
      </c>
    </row>
    <row r="88" spans="1:16" ht="30" x14ac:dyDescent="0.25">
      <c r="A88" s="169">
        <v>503</v>
      </c>
      <c r="B88" s="170"/>
      <c r="C88" s="328" t="s">
        <v>486</v>
      </c>
      <c r="D88" s="172">
        <v>4.7</v>
      </c>
      <c r="E88" s="172">
        <v>4.7</v>
      </c>
      <c r="F88" s="172"/>
      <c r="G88" s="166"/>
      <c r="H88" s="141"/>
      <c r="I88" s="141">
        <v>0</v>
      </c>
      <c r="J88" s="173">
        <f t="shared" si="6"/>
        <v>0</v>
      </c>
      <c r="K88" s="141">
        <v>4.7</v>
      </c>
      <c r="L88" s="165">
        <f t="shared" si="7"/>
        <v>100</v>
      </c>
      <c r="M88" s="141">
        <v>4.7</v>
      </c>
      <c r="N88" s="165">
        <f t="shared" si="8"/>
        <v>100</v>
      </c>
      <c r="O88" s="141" t="s">
        <v>670</v>
      </c>
      <c r="P88" s="236">
        <v>2019</v>
      </c>
    </row>
    <row r="89" spans="1:16" s="201" customFormat="1" ht="30" x14ac:dyDescent="0.25">
      <c r="A89" s="194">
        <v>504</v>
      </c>
      <c r="B89" s="195"/>
      <c r="C89" s="328" t="s">
        <v>650</v>
      </c>
      <c r="D89" s="199">
        <v>2.8</v>
      </c>
      <c r="E89" s="199">
        <v>2.8</v>
      </c>
      <c r="F89" s="199"/>
      <c r="G89" s="196"/>
      <c r="H89" s="197"/>
      <c r="I89" s="197">
        <v>0</v>
      </c>
      <c r="J89" s="198">
        <f t="shared" si="6"/>
        <v>0</v>
      </c>
      <c r="K89" s="197">
        <v>0.65</v>
      </c>
      <c r="L89" s="198">
        <f t="shared" si="7"/>
        <v>23.214285714285715</v>
      </c>
      <c r="M89" s="197">
        <v>2.8</v>
      </c>
      <c r="N89" s="165">
        <f t="shared" si="8"/>
        <v>100</v>
      </c>
      <c r="O89" s="141" t="s">
        <v>670</v>
      </c>
      <c r="P89" s="236">
        <v>2020</v>
      </c>
    </row>
    <row r="90" spans="1:16" ht="15.75" thickBot="1" x14ac:dyDescent="0.25">
      <c r="A90" s="238"/>
      <c r="B90" s="239"/>
      <c r="C90" s="240" t="s">
        <v>153</v>
      </c>
      <c r="D90" s="241">
        <f>SUM(D91:D110)</f>
        <v>25.745000000000005</v>
      </c>
      <c r="E90" s="241">
        <f t="shared" ref="E90:M90" si="9">SUM(E91:E110)</f>
        <v>25.737000000000005</v>
      </c>
      <c r="F90" s="241"/>
      <c r="G90" s="241"/>
      <c r="H90" s="241"/>
      <c r="I90" s="241">
        <f t="shared" si="9"/>
        <v>3.4800000000000004</v>
      </c>
      <c r="J90" s="241">
        <f t="shared" si="9"/>
        <v>235.70247703904658</v>
      </c>
      <c r="K90" s="241">
        <f t="shared" si="9"/>
        <v>6.45</v>
      </c>
      <c r="L90" s="241">
        <f t="shared" si="9"/>
        <v>411.80735320003726</v>
      </c>
      <c r="M90" s="241">
        <f t="shared" si="9"/>
        <v>21.317000000000004</v>
      </c>
      <c r="N90" s="235">
        <f t="shared" si="8"/>
        <v>82.8262812293585</v>
      </c>
      <c r="O90" s="241"/>
      <c r="P90" s="241"/>
    </row>
    <row r="91" spans="1:16" ht="15" x14ac:dyDescent="0.25">
      <c r="A91" s="169">
        <v>34</v>
      </c>
      <c r="B91" s="170" t="s">
        <v>487</v>
      </c>
      <c r="C91" s="171" t="s">
        <v>368</v>
      </c>
      <c r="D91" s="225">
        <v>1.5569999999999999</v>
      </c>
      <c r="E91" s="225">
        <v>1.5569999999999999</v>
      </c>
      <c r="F91" s="225"/>
      <c r="G91" s="166"/>
      <c r="H91" s="141"/>
      <c r="I91" s="141">
        <v>0</v>
      </c>
      <c r="J91" s="173">
        <f t="shared" ref="J91:J94" si="10">I91*100/D91</f>
        <v>0</v>
      </c>
      <c r="K91" s="141">
        <v>0</v>
      </c>
      <c r="L91" s="165">
        <f t="shared" ref="L91:L93" si="11">K91*100/E91</f>
        <v>0</v>
      </c>
      <c r="M91" s="242">
        <v>1.5569999999999999</v>
      </c>
      <c r="N91" s="165">
        <f t="shared" si="8"/>
        <v>100</v>
      </c>
      <c r="O91" s="141" t="s">
        <v>670</v>
      </c>
      <c r="P91" s="236">
        <v>2022</v>
      </c>
    </row>
    <row r="92" spans="1:16" ht="45" x14ac:dyDescent="0.25">
      <c r="A92" s="169"/>
      <c r="B92" s="170"/>
      <c r="C92" s="243" t="s">
        <v>604</v>
      </c>
      <c r="D92" s="225">
        <v>1.3</v>
      </c>
      <c r="E92" s="225">
        <v>1.3</v>
      </c>
      <c r="F92" s="225"/>
      <c r="G92" s="166"/>
      <c r="H92" s="141"/>
      <c r="I92" s="141">
        <v>0</v>
      </c>
      <c r="J92" s="173">
        <f t="shared" si="10"/>
        <v>0</v>
      </c>
      <c r="K92" s="141">
        <v>0</v>
      </c>
      <c r="L92" s="165">
        <f t="shared" si="11"/>
        <v>0</v>
      </c>
      <c r="M92" s="141">
        <v>1.3</v>
      </c>
      <c r="N92" s="165">
        <f t="shared" si="8"/>
        <v>100</v>
      </c>
      <c r="O92" s="141" t="s">
        <v>670</v>
      </c>
      <c r="P92" s="236">
        <v>2023</v>
      </c>
    </row>
    <row r="93" spans="1:16" ht="15" x14ac:dyDescent="0.25">
      <c r="A93" s="169">
        <v>39</v>
      </c>
      <c r="B93" s="170">
        <v>2448729</v>
      </c>
      <c r="C93" s="171" t="s">
        <v>373</v>
      </c>
      <c r="D93" s="172">
        <v>2.8</v>
      </c>
      <c r="E93" s="172">
        <v>2.8</v>
      </c>
      <c r="F93" s="172"/>
      <c r="G93" s="166"/>
      <c r="H93" s="141"/>
      <c r="I93" s="141">
        <v>0</v>
      </c>
      <c r="J93" s="173">
        <f t="shared" si="10"/>
        <v>0</v>
      </c>
      <c r="K93" s="141">
        <v>0</v>
      </c>
      <c r="L93" s="165">
        <f t="shared" si="11"/>
        <v>0</v>
      </c>
      <c r="M93" s="141">
        <v>0.48</v>
      </c>
      <c r="N93" s="165">
        <f t="shared" si="8"/>
        <v>17.142857142857142</v>
      </c>
      <c r="O93" s="141" t="s">
        <v>670</v>
      </c>
      <c r="P93" s="236">
        <v>2020</v>
      </c>
    </row>
    <row r="94" spans="1:16" ht="15" x14ac:dyDescent="0.25">
      <c r="A94" s="169">
        <v>42</v>
      </c>
      <c r="B94" s="170" t="s">
        <v>488</v>
      </c>
      <c r="C94" s="171" t="s">
        <v>154</v>
      </c>
      <c r="D94" s="225">
        <v>1.7</v>
      </c>
      <c r="E94" s="225">
        <v>1.7</v>
      </c>
      <c r="F94" s="225"/>
      <c r="G94" s="166"/>
      <c r="H94" s="141"/>
      <c r="I94" s="141">
        <v>0.1</v>
      </c>
      <c r="J94" s="173">
        <f t="shared" si="10"/>
        <v>5.882352941176471</v>
      </c>
      <c r="K94" s="141">
        <v>0.73</v>
      </c>
      <c r="L94" s="165">
        <f t="shared" si="7"/>
        <v>42.941176470588239</v>
      </c>
      <c r="M94" s="141">
        <v>0.83</v>
      </c>
      <c r="N94" s="165">
        <f t="shared" si="8"/>
        <v>48.82352941176471</v>
      </c>
      <c r="O94" s="141" t="s">
        <v>670</v>
      </c>
      <c r="P94" s="236">
        <v>2019</v>
      </c>
    </row>
    <row r="95" spans="1:16" ht="15" x14ac:dyDescent="0.25">
      <c r="A95" s="169">
        <v>43</v>
      </c>
      <c r="B95" s="170" t="s">
        <v>489</v>
      </c>
      <c r="C95" s="171" t="s">
        <v>377</v>
      </c>
      <c r="D95" s="225">
        <v>1.31</v>
      </c>
      <c r="E95" s="225">
        <v>1.31</v>
      </c>
      <c r="F95" s="225"/>
      <c r="G95" s="166"/>
      <c r="H95" s="141"/>
      <c r="I95" s="141">
        <v>0</v>
      </c>
      <c r="J95" s="173">
        <f t="shared" si="6"/>
        <v>0</v>
      </c>
      <c r="K95" s="141">
        <v>0</v>
      </c>
      <c r="L95" s="165">
        <f t="shared" si="7"/>
        <v>0</v>
      </c>
      <c r="M95" s="141">
        <v>1.31</v>
      </c>
      <c r="N95" s="165">
        <f t="shared" si="8"/>
        <v>100</v>
      </c>
      <c r="O95" s="141" t="s">
        <v>670</v>
      </c>
      <c r="P95" s="236">
        <v>2022</v>
      </c>
    </row>
    <row r="96" spans="1:16" ht="15" x14ac:dyDescent="0.25">
      <c r="A96" s="169">
        <v>46</v>
      </c>
      <c r="B96" s="170" t="s">
        <v>490</v>
      </c>
      <c r="C96" s="171" t="s">
        <v>382</v>
      </c>
      <c r="D96" s="225">
        <v>1.2</v>
      </c>
      <c r="E96" s="225">
        <v>1.2</v>
      </c>
      <c r="F96" s="225"/>
      <c r="G96" s="166"/>
      <c r="H96" s="141"/>
      <c r="I96" s="141">
        <v>0</v>
      </c>
      <c r="J96" s="173">
        <f t="shared" si="6"/>
        <v>0</v>
      </c>
      <c r="K96" s="141">
        <v>0</v>
      </c>
      <c r="L96" s="165">
        <f t="shared" si="7"/>
        <v>0</v>
      </c>
      <c r="M96" s="141">
        <v>1.2</v>
      </c>
      <c r="N96" s="165">
        <f t="shared" si="8"/>
        <v>100</v>
      </c>
      <c r="O96" s="141" t="s">
        <v>670</v>
      </c>
      <c r="P96" s="236">
        <v>2024</v>
      </c>
    </row>
    <row r="97" spans="1:16" ht="15" x14ac:dyDescent="0.25">
      <c r="A97" s="169">
        <v>66</v>
      </c>
      <c r="B97" s="170" t="s">
        <v>497</v>
      </c>
      <c r="C97" s="171" t="s">
        <v>414</v>
      </c>
      <c r="D97" s="225">
        <v>1.3</v>
      </c>
      <c r="E97" s="225">
        <v>1.3</v>
      </c>
      <c r="F97" s="225"/>
      <c r="G97" s="166"/>
      <c r="H97" s="141"/>
      <c r="I97" s="141">
        <v>0</v>
      </c>
      <c r="J97" s="173">
        <f t="shared" si="6"/>
        <v>0</v>
      </c>
      <c r="K97" s="141">
        <v>0</v>
      </c>
      <c r="L97" s="165">
        <f t="shared" si="7"/>
        <v>0</v>
      </c>
      <c r="M97" s="141">
        <v>0.9</v>
      </c>
      <c r="N97" s="165">
        <f t="shared" si="8"/>
        <v>69.230769230769226</v>
      </c>
      <c r="O97" s="141" t="s">
        <v>670</v>
      </c>
      <c r="P97" s="236">
        <v>2020</v>
      </c>
    </row>
    <row r="98" spans="1:16" ht="15" x14ac:dyDescent="0.25">
      <c r="A98" s="169">
        <v>67</v>
      </c>
      <c r="B98" s="170" t="s">
        <v>156</v>
      </c>
      <c r="C98" s="171" t="s">
        <v>498</v>
      </c>
      <c r="D98" s="225">
        <v>1.6</v>
      </c>
      <c r="E98" s="225">
        <v>1.6</v>
      </c>
      <c r="F98" s="225"/>
      <c r="G98" s="166"/>
      <c r="H98" s="141"/>
      <c r="I98" s="141">
        <v>0</v>
      </c>
      <c r="J98" s="173">
        <f t="shared" si="6"/>
        <v>0</v>
      </c>
      <c r="K98" s="141">
        <v>0.94</v>
      </c>
      <c r="L98" s="165">
        <f t="shared" si="7"/>
        <v>58.75</v>
      </c>
      <c r="M98" s="141">
        <v>0.94</v>
      </c>
      <c r="N98" s="165">
        <f t="shared" si="8"/>
        <v>58.75</v>
      </c>
      <c r="O98" s="141" t="s">
        <v>670</v>
      </c>
      <c r="P98" s="236">
        <v>2019</v>
      </c>
    </row>
    <row r="99" spans="1:16" ht="15" x14ac:dyDescent="0.25">
      <c r="A99" s="169">
        <v>74</v>
      </c>
      <c r="B99" s="170" t="s">
        <v>499</v>
      </c>
      <c r="C99" s="171" t="s">
        <v>500</v>
      </c>
      <c r="D99" s="225">
        <v>1.2</v>
      </c>
      <c r="E99" s="225">
        <v>1.2</v>
      </c>
      <c r="F99" s="225"/>
      <c r="G99" s="166"/>
      <c r="H99" s="141"/>
      <c r="I99" s="141">
        <v>0</v>
      </c>
      <c r="J99" s="173">
        <f t="shared" si="6"/>
        <v>0</v>
      </c>
      <c r="K99" s="141">
        <v>0</v>
      </c>
      <c r="L99" s="165">
        <f t="shared" si="7"/>
        <v>0</v>
      </c>
      <c r="M99" s="141">
        <v>1.2</v>
      </c>
      <c r="N99" s="165">
        <f t="shared" si="8"/>
        <v>100</v>
      </c>
      <c r="O99" s="141" t="s">
        <v>670</v>
      </c>
      <c r="P99" s="236">
        <v>2021</v>
      </c>
    </row>
    <row r="100" spans="1:16" ht="15" x14ac:dyDescent="0.25">
      <c r="A100" s="169">
        <v>87</v>
      </c>
      <c r="B100" s="170" t="s">
        <v>505</v>
      </c>
      <c r="C100" s="171" t="s">
        <v>451</v>
      </c>
      <c r="D100" s="225">
        <v>1.4</v>
      </c>
      <c r="E100" s="225">
        <v>1.4</v>
      </c>
      <c r="F100" s="225"/>
      <c r="G100" s="166"/>
      <c r="H100" s="141"/>
      <c r="I100" s="141">
        <v>0</v>
      </c>
      <c r="J100" s="173">
        <f t="shared" si="6"/>
        <v>0</v>
      </c>
      <c r="K100" s="141">
        <v>0</v>
      </c>
      <c r="L100" s="165">
        <f t="shared" si="7"/>
        <v>0</v>
      </c>
      <c r="M100" s="141">
        <v>1.4</v>
      </c>
      <c r="N100" s="165">
        <f t="shared" si="8"/>
        <v>100</v>
      </c>
      <c r="O100" s="141" t="s">
        <v>670</v>
      </c>
      <c r="P100" s="236">
        <v>2020</v>
      </c>
    </row>
    <row r="101" spans="1:16" ht="15" x14ac:dyDescent="0.25">
      <c r="A101" s="169">
        <v>105</v>
      </c>
      <c r="B101" s="170" t="s">
        <v>506</v>
      </c>
      <c r="C101" s="171" t="s">
        <v>473</v>
      </c>
      <c r="D101" s="141">
        <v>1.9</v>
      </c>
      <c r="E101" s="141">
        <v>1.9</v>
      </c>
      <c r="F101" s="141"/>
      <c r="G101" s="166"/>
      <c r="H101" s="141"/>
      <c r="I101" s="141">
        <v>1</v>
      </c>
      <c r="J101" s="173">
        <f t="shared" si="6"/>
        <v>52.631578947368425</v>
      </c>
      <c r="K101" s="141">
        <v>1.73</v>
      </c>
      <c r="L101" s="165">
        <f t="shared" si="7"/>
        <v>91.05263157894737</v>
      </c>
      <c r="M101" s="141">
        <v>1.73</v>
      </c>
      <c r="N101" s="165">
        <f t="shared" si="8"/>
        <v>91.05263157894737</v>
      </c>
      <c r="O101" s="141" t="s">
        <v>670</v>
      </c>
      <c r="P101" s="236">
        <v>2019</v>
      </c>
    </row>
    <row r="102" spans="1:16" ht="15" x14ac:dyDescent="0.25">
      <c r="A102" s="169">
        <v>123</v>
      </c>
      <c r="B102" s="170" t="s">
        <v>510</v>
      </c>
      <c r="C102" s="171" t="s">
        <v>511</v>
      </c>
      <c r="D102" s="225">
        <v>1.6</v>
      </c>
      <c r="E102" s="225">
        <v>1.6</v>
      </c>
      <c r="F102" s="225"/>
      <c r="G102" s="166"/>
      <c r="H102" s="141"/>
      <c r="I102" s="141">
        <v>0.93</v>
      </c>
      <c r="J102" s="173">
        <f t="shared" si="6"/>
        <v>58.125</v>
      </c>
      <c r="K102" s="141">
        <v>1.6</v>
      </c>
      <c r="L102" s="165">
        <f t="shared" si="7"/>
        <v>100</v>
      </c>
      <c r="M102" s="141">
        <v>1.6</v>
      </c>
      <c r="N102" s="165">
        <f t="shared" si="8"/>
        <v>100</v>
      </c>
      <c r="O102" s="141" t="s">
        <v>670</v>
      </c>
      <c r="P102" s="236">
        <v>2019</v>
      </c>
    </row>
    <row r="103" spans="1:16" ht="15" x14ac:dyDescent="0.25">
      <c r="A103" s="169">
        <v>127</v>
      </c>
      <c r="B103" s="170" t="s">
        <v>512</v>
      </c>
      <c r="C103" s="171" t="s">
        <v>513</v>
      </c>
      <c r="D103" s="225">
        <v>0.52300000000000002</v>
      </c>
      <c r="E103" s="225">
        <v>0.52300000000000002</v>
      </c>
      <c r="F103" s="225"/>
      <c r="G103" s="166"/>
      <c r="H103" s="141"/>
      <c r="I103" s="141">
        <v>0</v>
      </c>
      <c r="J103" s="173">
        <f t="shared" si="6"/>
        <v>0</v>
      </c>
      <c r="K103" s="141">
        <v>0</v>
      </c>
      <c r="L103" s="165">
        <f t="shared" si="7"/>
        <v>0</v>
      </c>
      <c r="M103" s="141">
        <v>0.52300000000000002</v>
      </c>
      <c r="N103" s="165">
        <f t="shared" si="8"/>
        <v>100</v>
      </c>
      <c r="O103" s="141" t="s">
        <v>670</v>
      </c>
      <c r="P103" s="236">
        <v>2021</v>
      </c>
    </row>
    <row r="104" spans="1:16" ht="15" x14ac:dyDescent="0.25">
      <c r="A104" s="169">
        <v>52</v>
      </c>
      <c r="B104" s="170" t="s">
        <v>491</v>
      </c>
      <c r="C104" s="171" t="s">
        <v>492</v>
      </c>
      <c r="D104" s="225">
        <v>0.3</v>
      </c>
      <c r="E104" s="225">
        <v>0.3</v>
      </c>
      <c r="F104" s="225"/>
      <c r="G104" s="166"/>
      <c r="H104" s="141"/>
      <c r="I104" s="141">
        <v>0</v>
      </c>
      <c r="J104" s="173">
        <f t="shared" si="6"/>
        <v>0</v>
      </c>
      <c r="K104" s="141">
        <v>0</v>
      </c>
      <c r="L104" s="165">
        <f t="shared" si="7"/>
        <v>0</v>
      </c>
      <c r="M104" s="141">
        <v>0.3</v>
      </c>
      <c r="N104" s="165">
        <f t="shared" si="8"/>
        <v>100</v>
      </c>
      <c r="O104" s="141" t="s">
        <v>670</v>
      </c>
      <c r="P104" s="236">
        <v>2021</v>
      </c>
    </row>
    <row r="105" spans="1:16" ht="15" x14ac:dyDescent="0.25">
      <c r="A105" s="169">
        <v>57</v>
      </c>
      <c r="B105" s="170" t="s">
        <v>493</v>
      </c>
      <c r="C105" s="171" t="s">
        <v>494</v>
      </c>
      <c r="D105" s="225">
        <v>0.95399999999999996</v>
      </c>
      <c r="E105" s="225">
        <v>0.95399999999999996</v>
      </c>
      <c r="F105" s="225"/>
      <c r="G105" s="166"/>
      <c r="H105" s="141"/>
      <c r="I105" s="141">
        <v>0</v>
      </c>
      <c r="J105" s="173">
        <f>I105*100/D105</f>
        <v>0</v>
      </c>
      <c r="K105" s="141">
        <v>0</v>
      </c>
      <c r="L105" s="165">
        <f>K105*100/E105</f>
        <v>0</v>
      </c>
      <c r="M105" s="141">
        <v>0.95399999999999996</v>
      </c>
      <c r="N105" s="165">
        <f t="shared" si="8"/>
        <v>100</v>
      </c>
      <c r="O105" s="141" t="s">
        <v>670</v>
      </c>
      <c r="P105" s="236">
        <v>2023</v>
      </c>
    </row>
    <row r="106" spans="1:16" ht="15" x14ac:dyDescent="0.25">
      <c r="A106" s="169">
        <v>61</v>
      </c>
      <c r="B106" s="170" t="s">
        <v>495</v>
      </c>
      <c r="C106" s="171" t="s">
        <v>496</v>
      </c>
      <c r="D106" s="225">
        <v>0.78800000000000003</v>
      </c>
      <c r="E106" s="225">
        <v>0.78</v>
      </c>
      <c r="F106" s="225"/>
      <c r="G106" s="166"/>
      <c r="H106" s="141"/>
      <c r="I106" s="141">
        <v>0</v>
      </c>
      <c r="J106" s="173">
        <f t="shared" ref="J106:J107" si="12">I106*100/D106</f>
        <v>0</v>
      </c>
      <c r="K106" s="141">
        <v>0</v>
      </c>
      <c r="L106" s="165">
        <f t="shared" ref="L106:L107" si="13">K106*100/E106</f>
        <v>0</v>
      </c>
      <c r="M106" s="141">
        <v>0.78</v>
      </c>
      <c r="N106" s="165">
        <f t="shared" si="8"/>
        <v>100</v>
      </c>
      <c r="O106" s="141" t="s">
        <v>670</v>
      </c>
      <c r="P106" s="236">
        <v>2023</v>
      </c>
    </row>
    <row r="107" spans="1:16" ht="15" x14ac:dyDescent="0.25">
      <c r="A107" s="169">
        <v>75</v>
      </c>
      <c r="B107" s="170" t="s">
        <v>501</v>
      </c>
      <c r="C107" s="171" t="s">
        <v>502</v>
      </c>
      <c r="D107" s="225">
        <v>0.76300000000000001</v>
      </c>
      <c r="E107" s="225">
        <v>0.76300000000000001</v>
      </c>
      <c r="F107" s="225"/>
      <c r="G107" s="166"/>
      <c r="H107" s="141"/>
      <c r="I107" s="141">
        <v>0</v>
      </c>
      <c r="J107" s="173">
        <f t="shared" si="12"/>
        <v>0</v>
      </c>
      <c r="K107" s="141">
        <v>0</v>
      </c>
      <c r="L107" s="165">
        <f t="shared" si="13"/>
        <v>0</v>
      </c>
      <c r="M107" s="141">
        <v>0.76300000000000001</v>
      </c>
      <c r="N107" s="165">
        <f t="shared" si="8"/>
        <v>100</v>
      </c>
      <c r="O107" s="141" t="s">
        <v>670</v>
      </c>
      <c r="P107" s="236">
        <v>2024</v>
      </c>
    </row>
    <row r="108" spans="1:16" ht="15" x14ac:dyDescent="0.25">
      <c r="A108" s="169">
        <v>81</v>
      </c>
      <c r="B108" s="170" t="s">
        <v>503</v>
      </c>
      <c r="C108" s="171" t="s">
        <v>504</v>
      </c>
      <c r="D108" s="225">
        <v>1.1000000000000001</v>
      </c>
      <c r="E108" s="225">
        <v>1.1000000000000001</v>
      </c>
      <c r="F108" s="225"/>
      <c r="G108" s="166"/>
      <c r="H108" s="141"/>
      <c r="I108" s="141">
        <v>0</v>
      </c>
      <c r="J108" s="173">
        <f t="shared" si="6"/>
        <v>0</v>
      </c>
      <c r="K108" s="141">
        <v>0</v>
      </c>
      <c r="L108" s="165">
        <f t="shared" si="7"/>
        <v>0</v>
      </c>
      <c r="M108" s="141">
        <v>1.1000000000000001</v>
      </c>
      <c r="N108" s="165">
        <f t="shared" si="8"/>
        <v>100</v>
      </c>
      <c r="O108" s="141" t="s">
        <v>670</v>
      </c>
      <c r="P108" s="236">
        <v>2021</v>
      </c>
    </row>
    <row r="109" spans="1:16" ht="15" x14ac:dyDescent="0.25">
      <c r="A109" s="169">
        <v>107</v>
      </c>
      <c r="B109" s="170" t="s">
        <v>507</v>
      </c>
      <c r="C109" s="171" t="s">
        <v>508</v>
      </c>
      <c r="D109" s="225">
        <v>1.3</v>
      </c>
      <c r="E109" s="225">
        <v>1.3</v>
      </c>
      <c r="F109" s="225"/>
      <c r="G109" s="166"/>
      <c r="H109" s="141"/>
      <c r="I109" s="141">
        <v>0.7</v>
      </c>
      <c r="J109" s="173">
        <f t="shared" si="6"/>
        <v>53.846153846153847</v>
      </c>
      <c r="K109" s="141">
        <v>0.7</v>
      </c>
      <c r="L109" s="165">
        <f t="shared" si="7"/>
        <v>53.846153846153847</v>
      </c>
      <c r="M109" s="141">
        <v>1.3</v>
      </c>
      <c r="N109" s="165">
        <f t="shared" si="8"/>
        <v>100</v>
      </c>
      <c r="O109" s="141" t="s">
        <v>670</v>
      </c>
      <c r="P109" s="236">
        <v>2024</v>
      </c>
    </row>
    <row r="110" spans="1:16" ht="15" customHeight="1" thickBot="1" x14ac:dyDescent="0.3">
      <c r="A110" s="169">
        <v>111</v>
      </c>
      <c r="B110" s="170" t="s">
        <v>509</v>
      </c>
      <c r="C110" s="171" t="s">
        <v>476</v>
      </c>
      <c r="D110" s="225">
        <v>1.1499999999999999</v>
      </c>
      <c r="E110" s="225">
        <v>1.1499999999999999</v>
      </c>
      <c r="F110" s="225"/>
      <c r="G110" s="166"/>
      <c r="H110" s="141"/>
      <c r="I110" s="141">
        <v>0.75</v>
      </c>
      <c r="J110" s="173">
        <f t="shared" si="6"/>
        <v>65.217391304347828</v>
      </c>
      <c r="K110" s="141">
        <v>0.75</v>
      </c>
      <c r="L110" s="165">
        <f t="shared" si="7"/>
        <v>65.217391304347828</v>
      </c>
      <c r="M110" s="141">
        <v>1.1499999999999999</v>
      </c>
      <c r="N110" s="165">
        <f t="shared" si="8"/>
        <v>100</v>
      </c>
      <c r="O110" s="141" t="s">
        <v>670</v>
      </c>
      <c r="P110" s="236">
        <v>2020</v>
      </c>
    </row>
    <row r="111" spans="1:16" ht="15.75" thickBot="1" x14ac:dyDescent="0.25">
      <c r="A111" s="244"/>
      <c r="B111" s="245"/>
      <c r="C111" s="246" t="s">
        <v>161</v>
      </c>
      <c r="D111" s="247">
        <f>SUM(D112:D122)</f>
        <v>11.571999999999999</v>
      </c>
      <c r="E111" s="247">
        <f>SUM(E112:E122)</f>
        <v>11.571999999999999</v>
      </c>
      <c r="F111" s="247"/>
      <c r="G111" s="247"/>
      <c r="H111" s="247"/>
      <c r="I111" s="247">
        <f t="shared" ref="I111:M111" si="14">SUM(I112:I122)</f>
        <v>2.6700000000000004</v>
      </c>
      <c r="J111" s="329">
        <f>I111*100/E111</f>
        <v>23.072934669892852</v>
      </c>
      <c r="K111" s="247">
        <f t="shared" si="14"/>
        <v>3.6820000000000004</v>
      </c>
      <c r="L111" s="329">
        <f>K111*100/E111</f>
        <v>31.818181818181824</v>
      </c>
      <c r="M111" s="247">
        <f t="shared" si="14"/>
        <v>8.202</v>
      </c>
      <c r="N111" s="235">
        <f t="shared" si="8"/>
        <v>70.877981334255111</v>
      </c>
      <c r="O111" s="248"/>
      <c r="P111" s="249"/>
    </row>
    <row r="112" spans="1:16" ht="15" x14ac:dyDescent="0.25">
      <c r="A112" s="250">
        <v>1</v>
      </c>
      <c r="B112" s="271" t="s">
        <v>514</v>
      </c>
      <c r="C112" s="251" t="s">
        <v>515</v>
      </c>
      <c r="D112" s="269">
        <v>0.64</v>
      </c>
      <c r="E112" s="269">
        <v>0.64</v>
      </c>
      <c r="F112" s="269"/>
      <c r="G112" s="270"/>
      <c r="H112" s="272"/>
      <c r="I112" s="272">
        <v>0</v>
      </c>
      <c r="J112" s="252">
        <f t="shared" ref="J112:J113" si="15">I112*100/D112</f>
        <v>0</v>
      </c>
      <c r="K112" s="272">
        <v>0</v>
      </c>
      <c r="L112" s="253">
        <f t="shared" si="7"/>
        <v>0</v>
      </c>
      <c r="M112" s="269">
        <v>0.64</v>
      </c>
      <c r="N112" s="165">
        <f t="shared" si="8"/>
        <v>100</v>
      </c>
      <c r="O112" s="272" t="s">
        <v>670</v>
      </c>
      <c r="P112" s="236">
        <v>2023</v>
      </c>
    </row>
    <row r="113" spans="1:16" ht="15" x14ac:dyDescent="0.25">
      <c r="A113" s="169">
        <v>2</v>
      </c>
      <c r="B113" s="170" t="s">
        <v>516</v>
      </c>
      <c r="C113" s="171" t="s">
        <v>517</v>
      </c>
      <c r="D113" s="172">
        <v>0.18</v>
      </c>
      <c r="E113" s="172">
        <v>0.18</v>
      </c>
      <c r="F113" s="172"/>
      <c r="G113" s="166"/>
      <c r="H113" s="141"/>
      <c r="I113" s="141">
        <v>0</v>
      </c>
      <c r="J113" s="173">
        <f t="shared" si="15"/>
        <v>0</v>
      </c>
      <c r="K113" s="141">
        <v>0</v>
      </c>
      <c r="L113" s="165">
        <f t="shared" si="7"/>
        <v>0</v>
      </c>
      <c r="M113" s="172">
        <v>0.18</v>
      </c>
      <c r="N113" s="165">
        <f t="shared" si="8"/>
        <v>100</v>
      </c>
      <c r="O113" s="272" t="s">
        <v>670</v>
      </c>
      <c r="P113" s="236">
        <v>2023</v>
      </c>
    </row>
    <row r="114" spans="1:16" ht="15" x14ac:dyDescent="0.25">
      <c r="A114" s="169">
        <v>9</v>
      </c>
      <c r="B114" s="170" t="s">
        <v>518</v>
      </c>
      <c r="C114" s="171" t="s">
        <v>519</v>
      </c>
      <c r="D114" s="172">
        <v>0.77</v>
      </c>
      <c r="E114" s="172">
        <v>0.77</v>
      </c>
      <c r="F114" s="172"/>
      <c r="G114" s="166"/>
      <c r="H114" s="141"/>
      <c r="I114" s="141">
        <v>0.1</v>
      </c>
      <c r="J114" s="173">
        <f t="shared" si="6"/>
        <v>12.987012987012987</v>
      </c>
      <c r="K114" s="141">
        <v>0.1</v>
      </c>
      <c r="L114" s="165">
        <f t="shared" si="7"/>
        <v>12.987012987012987</v>
      </c>
      <c r="M114" s="172">
        <v>0.77</v>
      </c>
      <c r="N114" s="165">
        <f t="shared" si="8"/>
        <v>100</v>
      </c>
      <c r="O114" s="272" t="s">
        <v>670</v>
      </c>
      <c r="P114" s="236">
        <v>2021</v>
      </c>
    </row>
    <row r="115" spans="1:16" ht="15" x14ac:dyDescent="0.25">
      <c r="A115" s="169">
        <v>13</v>
      </c>
      <c r="B115" s="170" t="s">
        <v>520</v>
      </c>
      <c r="C115" s="171" t="s">
        <v>386</v>
      </c>
      <c r="D115" s="172">
        <v>3.64</v>
      </c>
      <c r="E115" s="172">
        <v>3.64</v>
      </c>
      <c r="F115" s="172"/>
      <c r="G115" s="166"/>
      <c r="H115" s="141"/>
      <c r="I115" s="141">
        <v>0.3</v>
      </c>
      <c r="J115" s="173">
        <f t="shared" si="6"/>
        <v>8.2417582417582409</v>
      </c>
      <c r="K115" s="141">
        <v>0.3</v>
      </c>
      <c r="L115" s="165">
        <f t="shared" si="7"/>
        <v>8.2417582417582409</v>
      </c>
      <c r="M115" s="172">
        <v>0.85</v>
      </c>
      <c r="N115" s="165">
        <f t="shared" si="8"/>
        <v>23.35164835164835</v>
      </c>
      <c r="O115" s="272" t="s">
        <v>670</v>
      </c>
      <c r="P115" s="236">
        <v>2020</v>
      </c>
    </row>
    <row r="116" spans="1:16" ht="15" x14ac:dyDescent="0.25">
      <c r="A116" s="169">
        <v>16</v>
      </c>
      <c r="B116" s="170" t="s">
        <v>521</v>
      </c>
      <c r="C116" s="171" t="s">
        <v>522</v>
      </c>
      <c r="D116" s="172">
        <v>1.56</v>
      </c>
      <c r="E116" s="172">
        <v>1.56</v>
      </c>
      <c r="F116" s="172"/>
      <c r="G116" s="166"/>
      <c r="H116" s="141"/>
      <c r="I116" s="141">
        <v>1.0900000000000001</v>
      </c>
      <c r="J116" s="173">
        <f t="shared" si="6"/>
        <v>69.871794871794876</v>
      </c>
      <c r="K116" s="141">
        <f>I116+0.47</f>
        <v>1.56</v>
      </c>
      <c r="L116" s="165">
        <f t="shared" si="7"/>
        <v>100</v>
      </c>
      <c r="M116" s="172">
        <v>1.56</v>
      </c>
      <c r="N116" s="165">
        <f t="shared" si="8"/>
        <v>100</v>
      </c>
      <c r="O116" s="272" t="s">
        <v>670</v>
      </c>
      <c r="P116" s="236">
        <v>2019</v>
      </c>
    </row>
    <row r="117" spans="1:16" ht="15" x14ac:dyDescent="0.25">
      <c r="A117" s="169">
        <v>18</v>
      </c>
      <c r="B117" s="170" t="s">
        <v>523</v>
      </c>
      <c r="C117" s="171" t="s">
        <v>524</v>
      </c>
      <c r="D117" s="172">
        <v>1.6</v>
      </c>
      <c r="E117" s="172">
        <v>1.6</v>
      </c>
      <c r="F117" s="172"/>
      <c r="G117" s="166"/>
      <c r="H117" s="141"/>
      <c r="I117" s="141">
        <v>0.78</v>
      </c>
      <c r="J117" s="173">
        <f t="shared" si="6"/>
        <v>48.75</v>
      </c>
      <c r="K117" s="141">
        <v>0.78</v>
      </c>
      <c r="L117" s="165">
        <f t="shared" si="7"/>
        <v>48.75</v>
      </c>
      <c r="M117" s="172">
        <v>1.24</v>
      </c>
      <c r="N117" s="165">
        <f t="shared" si="8"/>
        <v>77.5</v>
      </c>
      <c r="O117" s="272" t="s">
        <v>670</v>
      </c>
      <c r="P117" s="236">
        <v>2022</v>
      </c>
    </row>
    <row r="118" spans="1:16" ht="15" x14ac:dyDescent="0.25">
      <c r="A118" s="169">
        <v>22</v>
      </c>
      <c r="B118" s="170" t="s">
        <v>525</v>
      </c>
      <c r="C118" s="171" t="s">
        <v>430</v>
      </c>
      <c r="D118" s="172">
        <v>0.35</v>
      </c>
      <c r="E118" s="172">
        <v>0.35</v>
      </c>
      <c r="F118" s="172"/>
      <c r="G118" s="166"/>
      <c r="H118" s="141"/>
      <c r="I118" s="141">
        <v>0</v>
      </c>
      <c r="J118" s="173">
        <f t="shared" si="6"/>
        <v>0</v>
      </c>
      <c r="K118" s="141">
        <v>0</v>
      </c>
      <c r="L118" s="165">
        <f t="shared" si="7"/>
        <v>0</v>
      </c>
      <c r="M118" s="172">
        <v>0.35</v>
      </c>
      <c r="N118" s="165">
        <f t="shared" si="8"/>
        <v>100</v>
      </c>
      <c r="O118" s="272" t="s">
        <v>670</v>
      </c>
      <c r="P118" s="236">
        <v>2024</v>
      </c>
    </row>
    <row r="119" spans="1:16" ht="15" x14ac:dyDescent="0.25">
      <c r="A119" s="169">
        <v>23</v>
      </c>
      <c r="B119" s="170" t="s">
        <v>526</v>
      </c>
      <c r="C119" s="171" t="s">
        <v>435</v>
      </c>
      <c r="D119" s="172">
        <v>0.76</v>
      </c>
      <c r="E119" s="172">
        <v>0.76</v>
      </c>
      <c r="F119" s="172"/>
      <c r="G119" s="166"/>
      <c r="H119" s="141"/>
      <c r="I119" s="141">
        <v>0.1</v>
      </c>
      <c r="J119" s="173">
        <f t="shared" si="6"/>
        <v>13.157894736842104</v>
      </c>
      <c r="K119" s="141">
        <v>0.1</v>
      </c>
      <c r="L119" s="165">
        <f t="shared" si="7"/>
        <v>13.157894736842104</v>
      </c>
      <c r="M119" s="172">
        <v>0.76</v>
      </c>
      <c r="N119" s="165">
        <f t="shared" si="8"/>
        <v>100</v>
      </c>
      <c r="O119" s="272" t="s">
        <v>670</v>
      </c>
      <c r="P119" s="236">
        <v>2020</v>
      </c>
    </row>
    <row r="120" spans="1:16" ht="15" x14ac:dyDescent="0.25">
      <c r="A120" s="169">
        <v>25</v>
      </c>
      <c r="B120" s="170" t="s">
        <v>527</v>
      </c>
      <c r="C120" s="171" t="s">
        <v>448</v>
      </c>
      <c r="D120" s="172">
        <v>0.49</v>
      </c>
      <c r="E120" s="172">
        <v>0.49</v>
      </c>
      <c r="F120" s="172"/>
      <c r="G120" s="166"/>
      <c r="H120" s="141"/>
      <c r="I120" s="141">
        <v>0</v>
      </c>
      <c r="J120" s="173">
        <f t="shared" si="6"/>
        <v>0</v>
      </c>
      <c r="K120" s="141">
        <v>0</v>
      </c>
      <c r="L120" s="165">
        <f t="shared" si="7"/>
        <v>0</v>
      </c>
      <c r="M120" s="172">
        <v>0.49</v>
      </c>
      <c r="N120" s="165">
        <f t="shared" si="8"/>
        <v>100</v>
      </c>
      <c r="O120" s="272" t="s">
        <v>670</v>
      </c>
      <c r="P120" s="236">
        <v>2022</v>
      </c>
    </row>
    <row r="121" spans="1:16" ht="15" x14ac:dyDescent="0.25">
      <c r="A121" s="169">
        <v>30</v>
      </c>
      <c r="B121" s="170" t="s">
        <v>528</v>
      </c>
      <c r="C121" s="171" t="s">
        <v>529</v>
      </c>
      <c r="D121" s="172">
        <v>0.54200000000000004</v>
      </c>
      <c r="E121" s="172">
        <v>0.54200000000000004</v>
      </c>
      <c r="F121" s="172"/>
      <c r="G121" s="166"/>
      <c r="H121" s="141"/>
      <c r="I121" s="141">
        <v>0</v>
      </c>
      <c r="J121" s="173">
        <f t="shared" si="6"/>
        <v>0</v>
      </c>
      <c r="K121" s="141">
        <v>0.54200000000000004</v>
      </c>
      <c r="L121" s="165">
        <f t="shared" si="7"/>
        <v>100</v>
      </c>
      <c r="M121" s="172">
        <v>0.54200000000000004</v>
      </c>
      <c r="N121" s="165">
        <f t="shared" si="8"/>
        <v>100</v>
      </c>
      <c r="O121" s="272" t="s">
        <v>670</v>
      </c>
      <c r="P121" s="236">
        <v>2019</v>
      </c>
    </row>
    <row r="122" spans="1:16" ht="15" x14ac:dyDescent="0.25">
      <c r="A122" s="169">
        <v>34</v>
      </c>
      <c r="B122" s="170" t="s">
        <v>530</v>
      </c>
      <c r="C122" s="171" t="s">
        <v>531</v>
      </c>
      <c r="D122" s="172">
        <v>1.04</v>
      </c>
      <c r="E122" s="172">
        <v>1.04</v>
      </c>
      <c r="F122" s="172"/>
      <c r="G122" s="166"/>
      <c r="H122" s="141"/>
      <c r="I122" s="141">
        <v>0.3</v>
      </c>
      <c r="J122" s="173">
        <f t="shared" si="6"/>
        <v>28.846153846153847</v>
      </c>
      <c r="K122" s="141">
        <v>0.3</v>
      </c>
      <c r="L122" s="165">
        <f t="shared" si="7"/>
        <v>28.846153846153847</v>
      </c>
      <c r="M122" s="172">
        <v>0.82</v>
      </c>
      <c r="N122" s="165">
        <f>M122*100/E122</f>
        <v>78.84615384615384</v>
      </c>
      <c r="O122" s="272" t="s">
        <v>670</v>
      </c>
      <c r="P122" s="236">
        <v>2021</v>
      </c>
    </row>
    <row r="123" spans="1:16" ht="15" x14ac:dyDescent="0.2">
      <c r="A123" s="690" t="s">
        <v>57</v>
      </c>
      <c r="B123" s="690"/>
      <c r="C123" s="690"/>
      <c r="D123" s="157">
        <f>D18+D90+D111</f>
        <v>168.10300000000004</v>
      </c>
      <c r="E123" s="157">
        <f>E18+E90+E111</f>
        <v>168.09500000000003</v>
      </c>
      <c r="F123" s="276"/>
      <c r="G123" s="276"/>
      <c r="H123" s="276"/>
      <c r="I123" s="157">
        <f>I18+I90+I111</f>
        <v>49.350000000000009</v>
      </c>
      <c r="J123" s="161">
        <f>I123*100/E123</f>
        <v>29.358398524643803</v>
      </c>
      <c r="K123" s="177">
        <f>K18+K90+K111</f>
        <v>65.742000000000004</v>
      </c>
      <c r="L123" s="161">
        <f>K123*100/E123</f>
        <v>39.110027068027009</v>
      </c>
      <c r="M123" s="177">
        <f>M18+M90+M111</f>
        <v>139.21400000000003</v>
      </c>
      <c r="N123" s="254">
        <f t="shared" si="8"/>
        <v>82.81864421904281</v>
      </c>
      <c r="O123" s="276"/>
      <c r="P123" s="86"/>
    </row>
    <row r="124" spans="1:16" ht="14.25" x14ac:dyDescent="0.2">
      <c r="A124" s="677" t="s">
        <v>53</v>
      </c>
      <c r="B124" s="677"/>
      <c r="C124" s="677"/>
      <c r="D124" s="178">
        <f>D10+D16+D123</f>
        <v>938.6690000000001</v>
      </c>
      <c r="E124" s="178">
        <f>E10+E16+E123</f>
        <v>193.39500000000004</v>
      </c>
      <c r="F124" s="330"/>
      <c r="G124" s="330"/>
      <c r="H124" s="330"/>
      <c r="I124" s="178">
        <f>I10+I16+I123</f>
        <v>67.450000000000017</v>
      </c>
      <c r="J124" s="331">
        <f>I124*100/E124</f>
        <v>34.876806535846328</v>
      </c>
      <c r="K124" s="200">
        <f>K10+K16+K123</f>
        <v>88.641999999999996</v>
      </c>
      <c r="L124" s="255">
        <f>(L10+L16+L123)/3</f>
        <v>58.570444752523166</v>
      </c>
      <c r="M124" s="200">
        <f>M10+M16+M123</f>
        <v>164.51400000000004</v>
      </c>
      <c r="N124" s="332">
        <f>M124*100/E124</f>
        <v>85.066315054680842</v>
      </c>
      <c r="O124" s="274"/>
      <c r="P124" s="256"/>
    </row>
    <row r="125" spans="1:16" ht="15" x14ac:dyDescent="0.2">
      <c r="E125" s="257"/>
      <c r="I125" s="258"/>
      <c r="M125" s="257"/>
    </row>
    <row r="126" spans="1:16" x14ac:dyDescent="0.2">
      <c r="I126" s="158"/>
    </row>
    <row r="132" spans="9:9" x14ac:dyDescent="0.2">
      <c r="I132" s="82"/>
    </row>
  </sheetData>
  <mergeCells count="19">
    <mergeCell ref="A1:P1"/>
    <mergeCell ref="A2:A6"/>
    <mergeCell ref="B2:B6"/>
    <mergeCell ref="C2:C6"/>
    <mergeCell ref="D2:E5"/>
    <mergeCell ref="F2:N2"/>
    <mergeCell ref="O2:P5"/>
    <mergeCell ref="F3:J3"/>
    <mergeCell ref="K3:L5"/>
    <mergeCell ref="M3:N5"/>
    <mergeCell ref="A17:P17"/>
    <mergeCell ref="A123:C123"/>
    <mergeCell ref="A124:C124"/>
    <mergeCell ref="F4:H5"/>
    <mergeCell ref="I4:J5"/>
    <mergeCell ref="A8:P8"/>
    <mergeCell ref="A10:C10"/>
    <mergeCell ref="A11:P11"/>
    <mergeCell ref="A16:C16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  <rowBreaks count="1" manualBreakCount="1">
    <brk id="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8"/>
  <sheetViews>
    <sheetView tabSelected="1" view="pageBreakPreview" zoomScale="85" zoomScaleNormal="85" zoomScaleSheetLayoutView="85" workbookViewId="0">
      <selection activeCell="J17" sqref="J17"/>
    </sheetView>
  </sheetViews>
  <sheetFormatPr defaultColWidth="8.85546875" defaultRowHeight="12.75" x14ac:dyDescent="0.2"/>
  <cols>
    <col min="1" max="1" width="4.5703125" style="82" customWidth="1"/>
    <col min="2" max="2" width="14.7109375" bestFit="1" customWidth="1"/>
    <col min="3" max="3" width="44.7109375" customWidth="1"/>
    <col min="4" max="4" width="20.42578125" customWidth="1"/>
    <col min="5" max="5" width="18.140625" customWidth="1"/>
    <col min="6" max="8" width="15.7109375" customWidth="1"/>
  </cols>
  <sheetData>
    <row r="1" spans="1:8" ht="34.5" customHeight="1" thickBot="1" x14ac:dyDescent="0.3">
      <c r="A1" s="698" t="s">
        <v>81</v>
      </c>
      <c r="B1" s="698"/>
      <c r="C1" s="698"/>
      <c r="D1" s="698"/>
      <c r="E1" s="698"/>
      <c r="F1" s="698"/>
      <c r="G1" s="698"/>
      <c r="H1" s="698"/>
    </row>
    <row r="2" spans="1:8" ht="15.75" customHeight="1" x14ac:dyDescent="0.2">
      <c r="A2" s="699" t="s">
        <v>80</v>
      </c>
      <c r="B2" s="702" t="s">
        <v>25</v>
      </c>
      <c r="C2" s="705" t="s">
        <v>73</v>
      </c>
      <c r="D2" s="708" t="s">
        <v>26</v>
      </c>
      <c r="E2" s="715" t="s">
        <v>82</v>
      </c>
      <c r="F2" s="712" t="s">
        <v>83</v>
      </c>
      <c r="G2" s="713"/>
      <c r="H2" s="714"/>
    </row>
    <row r="3" spans="1:8" ht="30" customHeight="1" x14ac:dyDescent="0.2">
      <c r="A3" s="700"/>
      <c r="B3" s="703"/>
      <c r="C3" s="706"/>
      <c r="D3" s="709"/>
      <c r="E3" s="716"/>
      <c r="F3" s="711" t="s">
        <v>28</v>
      </c>
      <c r="G3" s="711"/>
      <c r="H3" s="718" t="s">
        <v>79</v>
      </c>
    </row>
    <row r="4" spans="1:8" ht="29.25" thickBot="1" x14ac:dyDescent="0.25">
      <c r="A4" s="701"/>
      <c r="B4" s="704"/>
      <c r="C4" s="707"/>
      <c r="D4" s="710"/>
      <c r="E4" s="717"/>
      <c r="F4" s="122" t="s">
        <v>33</v>
      </c>
      <c r="G4" s="122" t="s">
        <v>34</v>
      </c>
      <c r="H4" s="719"/>
    </row>
    <row r="5" spans="1:8" ht="13.5" thickBot="1" x14ac:dyDescent="0.25">
      <c r="A5" s="115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6">
        <v>8</v>
      </c>
    </row>
    <row r="6" spans="1:8" ht="17.25" customHeight="1" x14ac:dyDescent="0.2">
      <c r="A6" s="341">
        <v>1</v>
      </c>
      <c r="B6" s="341">
        <v>1948114</v>
      </c>
      <c r="C6" s="347" t="s">
        <v>128</v>
      </c>
      <c r="D6" s="156" t="s">
        <v>129</v>
      </c>
      <c r="E6" s="344">
        <v>236.714</v>
      </c>
      <c r="F6" s="343"/>
      <c r="G6" s="343"/>
      <c r="H6" s="346">
        <v>57.031999999999996</v>
      </c>
    </row>
    <row r="7" spans="1:8" ht="17.25" customHeight="1" x14ac:dyDescent="0.2">
      <c r="A7" s="139">
        <v>2</v>
      </c>
      <c r="B7" s="154" t="s">
        <v>312</v>
      </c>
      <c r="C7" s="188" t="s">
        <v>313</v>
      </c>
      <c r="D7" s="156" t="s">
        <v>587</v>
      </c>
      <c r="E7" s="156">
        <v>58</v>
      </c>
      <c r="F7" s="162"/>
      <c r="G7" s="162"/>
      <c r="H7" s="179">
        <v>44</v>
      </c>
    </row>
    <row r="8" spans="1:8" ht="15" x14ac:dyDescent="0.2">
      <c r="A8" s="345">
        <v>3</v>
      </c>
      <c r="B8" s="154" t="s">
        <v>318</v>
      </c>
      <c r="C8" s="188" t="s">
        <v>319</v>
      </c>
      <c r="D8" s="156" t="s">
        <v>709</v>
      </c>
      <c r="E8" s="156">
        <v>15</v>
      </c>
      <c r="F8" s="162"/>
      <c r="G8" s="162"/>
      <c r="H8" s="179">
        <v>1.5</v>
      </c>
    </row>
    <row r="9" spans="1:8" ht="15" x14ac:dyDescent="0.2">
      <c r="A9" s="345">
        <v>4</v>
      </c>
      <c r="B9" s="154" t="s">
        <v>316</v>
      </c>
      <c r="C9" s="188" t="s">
        <v>317</v>
      </c>
      <c r="D9" s="156" t="s">
        <v>710</v>
      </c>
      <c r="E9" s="156">
        <v>47</v>
      </c>
      <c r="F9" s="162"/>
      <c r="G9" s="162"/>
      <c r="H9" s="179">
        <v>15.5</v>
      </c>
    </row>
    <row r="10" spans="1:8" ht="30" x14ac:dyDescent="0.2">
      <c r="A10" s="341">
        <v>5</v>
      </c>
      <c r="B10" s="154" t="s">
        <v>345</v>
      </c>
      <c r="C10" s="188" t="s">
        <v>346</v>
      </c>
      <c r="D10" s="156" t="s">
        <v>711</v>
      </c>
      <c r="E10" s="156">
        <v>160</v>
      </c>
      <c r="F10" s="162"/>
      <c r="G10" s="162"/>
      <c r="H10" s="179">
        <v>61</v>
      </c>
    </row>
    <row r="11" spans="1:8" ht="16.5" customHeight="1" x14ac:dyDescent="0.2">
      <c r="A11" s="341">
        <v>6</v>
      </c>
      <c r="B11" s="139">
        <v>1948188</v>
      </c>
      <c r="C11" s="188" t="s">
        <v>225</v>
      </c>
      <c r="D11" s="156" t="s">
        <v>582</v>
      </c>
      <c r="E11" s="156">
        <v>10</v>
      </c>
      <c r="F11" s="162"/>
      <c r="G11" s="162"/>
      <c r="H11" s="179">
        <v>10</v>
      </c>
    </row>
    <row r="12" spans="1:8" ht="15" x14ac:dyDescent="0.2">
      <c r="A12" s="139">
        <v>7</v>
      </c>
      <c r="B12" s="154">
        <v>1948142</v>
      </c>
      <c r="C12" s="188" t="s">
        <v>141</v>
      </c>
      <c r="D12" s="156" t="s">
        <v>703</v>
      </c>
      <c r="E12" s="156">
        <v>78.5</v>
      </c>
      <c r="F12" s="162"/>
      <c r="G12" s="162"/>
      <c r="H12" s="179">
        <v>33.762999999999998</v>
      </c>
    </row>
    <row r="13" spans="1:8" ht="17.25" customHeight="1" x14ac:dyDescent="0.2">
      <c r="A13" s="345">
        <v>8</v>
      </c>
      <c r="B13" s="139">
        <v>1948113</v>
      </c>
      <c r="C13" s="188" t="s">
        <v>224</v>
      </c>
      <c r="D13" s="156" t="s">
        <v>704</v>
      </c>
      <c r="E13" s="156">
        <v>272.01</v>
      </c>
      <c r="F13" s="162"/>
      <c r="G13" s="162"/>
      <c r="H13" s="179">
        <v>260</v>
      </c>
    </row>
    <row r="14" spans="1:8" ht="30" x14ac:dyDescent="0.2">
      <c r="A14" s="345">
        <v>9</v>
      </c>
      <c r="B14" s="139">
        <v>1948128</v>
      </c>
      <c r="C14" s="188" t="s">
        <v>228</v>
      </c>
      <c r="D14" s="156" t="s">
        <v>579</v>
      </c>
      <c r="E14" s="156">
        <v>66</v>
      </c>
      <c r="F14" s="162"/>
      <c r="G14" s="162"/>
      <c r="H14" s="179">
        <v>38</v>
      </c>
    </row>
    <row r="15" spans="1:8" ht="30" x14ac:dyDescent="0.2">
      <c r="A15" s="341">
        <v>10</v>
      </c>
      <c r="B15" s="154" t="s">
        <v>302</v>
      </c>
      <c r="C15" s="188" t="s">
        <v>303</v>
      </c>
      <c r="D15" s="156" t="s">
        <v>588</v>
      </c>
      <c r="E15" s="156">
        <v>28.9</v>
      </c>
      <c r="F15" s="162"/>
      <c r="G15" s="162"/>
      <c r="H15" s="179">
        <v>25.9</v>
      </c>
    </row>
    <row r="16" spans="1:8" ht="30" x14ac:dyDescent="0.2">
      <c r="A16" s="341">
        <v>11</v>
      </c>
      <c r="B16" s="154" t="s">
        <v>306</v>
      </c>
      <c r="C16" s="188" t="s">
        <v>307</v>
      </c>
      <c r="D16" s="156" t="s">
        <v>705</v>
      </c>
      <c r="E16" s="156">
        <v>3.4</v>
      </c>
      <c r="F16" s="162"/>
      <c r="G16" s="162"/>
      <c r="H16" s="179">
        <v>0.5</v>
      </c>
    </row>
    <row r="17" spans="1:8" ht="15" customHeight="1" x14ac:dyDescent="0.2">
      <c r="A17" s="139">
        <v>12</v>
      </c>
      <c r="B17" s="154" t="s">
        <v>304</v>
      </c>
      <c r="C17" s="188" t="s">
        <v>305</v>
      </c>
      <c r="D17" s="156" t="s">
        <v>706</v>
      </c>
      <c r="E17" s="156">
        <v>27.6</v>
      </c>
      <c r="F17" s="162"/>
      <c r="G17" s="162"/>
      <c r="H17" s="179">
        <v>21.6</v>
      </c>
    </row>
    <row r="18" spans="1:8" ht="16.5" customHeight="1" x14ac:dyDescent="0.2">
      <c r="A18" s="345">
        <v>13</v>
      </c>
      <c r="B18" s="154" t="s">
        <v>343</v>
      </c>
      <c r="C18" s="188" t="s">
        <v>344</v>
      </c>
      <c r="D18" s="156" t="s">
        <v>707</v>
      </c>
      <c r="E18" s="156">
        <v>69.400000000000006</v>
      </c>
      <c r="F18" s="162"/>
      <c r="G18" s="162"/>
      <c r="H18" s="179">
        <v>30.5</v>
      </c>
    </row>
    <row r="19" spans="1:8" ht="16.5" customHeight="1" x14ac:dyDescent="0.2">
      <c r="A19" s="345">
        <v>14</v>
      </c>
      <c r="B19" s="139">
        <v>1948141</v>
      </c>
      <c r="C19" s="188" t="s">
        <v>233</v>
      </c>
      <c r="D19" s="156" t="s">
        <v>708</v>
      </c>
      <c r="E19" s="156">
        <v>15.722</v>
      </c>
      <c r="F19" s="162"/>
      <c r="G19" s="162"/>
      <c r="H19" s="179">
        <v>15.722</v>
      </c>
    </row>
    <row r="20" spans="1:8" ht="16.5" customHeight="1" x14ac:dyDescent="0.2">
      <c r="A20" s="341">
        <v>15</v>
      </c>
      <c r="B20" s="154" t="s">
        <v>335</v>
      </c>
      <c r="C20" s="188" t="s">
        <v>336</v>
      </c>
      <c r="D20" s="156" t="s">
        <v>712</v>
      </c>
      <c r="E20" s="156">
        <v>1.4</v>
      </c>
      <c r="F20" s="162"/>
      <c r="G20" s="162"/>
      <c r="H20" s="179">
        <v>1.4</v>
      </c>
    </row>
    <row r="21" spans="1:8" ht="16.5" customHeight="1" x14ac:dyDescent="0.2">
      <c r="A21" s="341">
        <v>16</v>
      </c>
      <c r="B21" s="154" t="s">
        <v>255</v>
      </c>
      <c r="C21" s="188" t="s">
        <v>256</v>
      </c>
      <c r="D21" s="156" t="s">
        <v>713</v>
      </c>
      <c r="E21" s="156">
        <v>3</v>
      </c>
      <c r="F21" s="162"/>
      <c r="G21" s="162"/>
      <c r="H21" s="179">
        <v>0.5</v>
      </c>
    </row>
    <row r="22" spans="1:8" ht="16.5" customHeight="1" x14ac:dyDescent="0.2">
      <c r="A22" s="139">
        <v>17</v>
      </c>
      <c r="B22" s="154" t="s">
        <v>243</v>
      </c>
      <c r="C22" s="188" t="s">
        <v>244</v>
      </c>
      <c r="D22" s="156" t="s">
        <v>714</v>
      </c>
      <c r="E22" s="156">
        <v>1.3</v>
      </c>
      <c r="F22" s="162"/>
      <c r="G22" s="162"/>
      <c r="H22" s="179">
        <v>1.3</v>
      </c>
    </row>
    <row r="23" spans="1:8" ht="16.5" customHeight="1" x14ac:dyDescent="0.2">
      <c r="A23" s="345">
        <v>18</v>
      </c>
      <c r="B23" s="139">
        <v>1948171</v>
      </c>
      <c r="C23" s="188" t="s">
        <v>231</v>
      </c>
      <c r="D23" s="156" t="s">
        <v>715</v>
      </c>
      <c r="E23" s="156">
        <v>5.032</v>
      </c>
      <c r="F23" s="162"/>
      <c r="G23" s="162"/>
      <c r="H23" s="179">
        <v>5.032</v>
      </c>
    </row>
    <row r="24" spans="1:8" ht="16.5" customHeight="1" x14ac:dyDescent="0.2">
      <c r="A24" s="345">
        <v>19</v>
      </c>
      <c r="B24" s="154" t="s">
        <v>349</v>
      </c>
      <c r="C24" s="188" t="s">
        <v>350</v>
      </c>
      <c r="D24" s="156" t="s">
        <v>716</v>
      </c>
      <c r="E24" s="156">
        <v>17.600999999999999</v>
      </c>
      <c r="F24" s="162"/>
      <c r="G24" s="162"/>
      <c r="H24" s="179">
        <v>17.600000000000001</v>
      </c>
    </row>
    <row r="25" spans="1:8" ht="16.5" customHeight="1" x14ac:dyDescent="0.2">
      <c r="A25" s="341">
        <v>20</v>
      </c>
      <c r="B25" s="139">
        <v>1948129</v>
      </c>
      <c r="C25" s="188" t="s">
        <v>229</v>
      </c>
      <c r="D25" s="156" t="s">
        <v>717</v>
      </c>
      <c r="E25" s="156">
        <v>19.219000000000001</v>
      </c>
      <c r="F25" s="162"/>
      <c r="G25" s="162"/>
      <c r="H25" s="179">
        <v>19.219000000000001</v>
      </c>
    </row>
    <row r="26" spans="1:8" ht="16.5" customHeight="1" x14ac:dyDescent="0.2">
      <c r="A26" s="341">
        <v>21</v>
      </c>
      <c r="B26" s="154">
        <v>1948104</v>
      </c>
      <c r="C26" s="188" t="s">
        <v>334</v>
      </c>
      <c r="D26" s="156" t="s">
        <v>718</v>
      </c>
      <c r="E26" s="156">
        <v>64.186000000000007</v>
      </c>
      <c r="F26" s="162"/>
      <c r="G26" s="162"/>
      <c r="H26" s="179">
        <v>55</v>
      </c>
    </row>
    <row r="27" spans="1:8" ht="16.5" customHeight="1" x14ac:dyDescent="0.2">
      <c r="A27" s="139">
        <v>22</v>
      </c>
      <c r="B27" s="154" t="s">
        <v>136</v>
      </c>
      <c r="C27" s="188" t="s">
        <v>137</v>
      </c>
      <c r="D27" s="156" t="s">
        <v>138</v>
      </c>
      <c r="E27" s="156">
        <v>31.587</v>
      </c>
      <c r="F27" s="162"/>
      <c r="G27" s="162"/>
      <c r="H27" s="179">
        <v>12.964</v>
      </c>
    </row>
    <row r="28" spans="1:8" ht="16.5" customHeight="1" x14ac:dyDescent="0.2">
      <c r="A28" s="345">
        <v>23</v>
      </c>
      <c r="B28" s="139">
        <v>1948087</v>
      </c>
      <c r="C28" s="188" t="s">
        <v>242</v>
      </c>
      <c r="D28" s="156" t="s">
        <v>719</v>
      </c>
      <c r="E28" s="156">
        <v>9.1999999999999993</v>
      </c>
      <c r="F28" s="162"/>
      <c r="G28" s="162"/>
      <c r="H28" s="179">
        <v>1.4</v>
      </c>
    </row>
    <row r="29" spans="1:8" ht="16.5" customHeight="1" x14ac:dyDescent="0.2">
      <c r="A29" s="345">
        <v>24</v>
      </c>
      <c r="B29" s="154" t="s">
        <v>276</v>
      </c>
      <c r="C29" s="188" t="s">
        <v>277</v>
      </c>
      <c r="D29" s="156" t="s">
        <v>720</v>
      </c>
      <c r="E29" s="156">
        <v>3.6</v>
      </c>
      <c r="F29" s="162"/>
      <c r="G29" s="162"/>
      <c r="H29" s="179">
        <v>3.6</v>
      </c>
    </row>
    <row r="30" spans="1:8" ht="16.5" customHeight="1" x14ac:dyDescent="0.2">
      <c r="A30" s="341">
        <v>25</v>
      </c>
      <c r="B30" s="139">
        <v>1948144</v>
      </c>
      <c r="C30" s="188" t="s">
        <v>235</v>
      </c>
      <c r="D30" s="156" t="s">
        <v>721</v>
      </c>
      <c r="E30" s="156">
        <v>19.04</v>
      </c>
      <c r="F30" s="162"/>
      <c r="G30" s="162"/>
      <c r="H30" s="179">
        <v>15</v>
      </c>
    </row>
    <row r="31" spans="1:8" ht="16.5" customHeight="1" x14ac:dyDescent="0.2">
      <c r="A31" s="341">
        <v>26</v>
      </c>
      <c r="B31" s="154" t="s">
        <v>291</v>
      </c>
      <c r="C31" s="188" t="s">
        <v>292</v>
      </c>
      <c r="D31" s="156" t="s">
        <v>580</v>
      </c>
      <c r="E31" s="156">
        <v>73</v>
      </c>
      <c r="F31" s="162"/>
      <c r="G31" s="162"/>
      <c r="H31" s="179">
        <v>18.100000000000001</v>
      </c>
    </row>
    <row r="32" spans="1:8" ht="16.5" customHeight="1" x14ac:dyDescent="0.2">
      <c r="A32" s="139">
        <v>27</v>
      </c>
      <c r="B32" s="154" t="s">
        <v>266</v>
      </c>
      <c r="C32" s="188" t="s">
        <v>590</v>
      </c>
      <c r="D32" s="156" t="s">
        <v>578</v>
      </c>
      <c r="E32" s="156">
        <v>1.5</v>
      </c>
      <c r="F32" s="162"/>
      <c r="G32" s="162"/>
      <c r="H32" s="179">
        <v>1.5</v>
      </c>
    </row>
    <row r="33" spans="1:8" ht="16.5" customHeight="1" x14ac:dyDescent="0.2">
      <c r="A33" s="345">
        <v>28</v>
      </c>
      <c r="B33" s="139">
        <v>1948119</v>
      </c>
      <c r="C33" s="188" t="s">
        <v>226</v>
      </c>
      <c r="D33" s="156" t="s">
        <v>722</v>
      </c>
      <c r="E33" s="156">
        <v>10</v>
      </c>
      <c r="F33" s="162"/>
      <c r="G33" s="162"/>
      <c r="H33" s="179">
        <v>1.5</v>
      </c>
    </row>
    <row r="34" spans="1:8" ht="16.5" customHeight="1" x14ac:dyDescent="0.2">
      <c r="A34" s="345">
        <v>29</v>
      </c>
      <c r="B34" s="139">
        <v>1948156</v>
      </c>
      <c r="C34" s="188" t="s">
        <v>241</v>
      </c>
      <c r="D34" s="156" t="s">
        <v>723</v>
      </c>
      <c r="E34" s="156">
        <v>17.652000000000001</v>
      </c>
      <c r="F34" s="162"/>
      <c r="G34" s="162"/>
      <c r="H34" s="179">
        <v>17.652000000000001</v>
      </c>
    </row>
    <row r="35" spans="1:8" ht="16.5" customHeight="1" x14ac:dyDescent="0.2">
      <c r="A35" s="341">
        <v>30</v>
      </c>
      <c r="B35" s="154">
        <v>1948184</v>
      </c>
      <c r="C35" s="188" t="s">
        <v>290</v>
      </c>
      <c r="D35" s="156" t="s">
        <v>574</v>
      </c>
      <c r="E35" s="156">
        <v>37.9</v>
      </c>
      <c r="F35" s="162"/>
      <c r="G35" s="162"/>
      <c r="H35" s="179">
        <v>26.6</v>
      </c>
    </row>
    <row r="36" spans="1:8" ht="16.5" customHeight="1" x14ac:dyDescent="0.2">
      <c r="A36" s="341">
        <v>31</v>
      </c>
      <c r="B36" s="154" t="s">
        <v>247</v>
      </c>
      <c r="C36" s="188" t="s">
        <v>248</v>
      </c>
      <c r="D36" s="156" t="s">
        <v>724</v>
      </c>
      <c r="E36" s="156">
        <v>0.7</v>
      </c>
      <c r="F36" s="162"/>
      <c r="G36" s="162"/>
      <c r="H36" s="179">
        <v>0.2</v>
      </c>
    </row>
    <row r="37" spans="1:8" ht="16.5" customHeight="1" x14ac:dyDescent="0.2">
      <c r="A37" s="139">
        <v>32</v>
      </c>
      <c r="B37" s="154" t="s">
        <v>245</v>
      </c>
      <c r="C37" s="188" t="s">
        <v>246</v>
      </c>
      <c r="D37" s="156" t="s">
        <v>725</v>
      </c>
      <c r="E37" s="156">
        <v>3.51</v>
      </c>
      <c r="F37" s="162"/>
      <c r="G37" s="162"/>
      <c r="H37" s="179">
        <v>3.5</v>
      </c>
    </row>
    <row r="38" spans="1:8" ht="16.5" customHeight="1" x14ac:dyDescent="0.2">
      <c r="A38" s="345">
        <v>33</v>
      </c>
      <c r="B38" s="139">
        <v>1948159</v>
      </c>
      <c r="C38" s="188" t="s">
        <v>227</v>
      </c>
      <c r="D38" s="156" t="s">
        <v>726</v>
      </c>
      <c r="E38" s="156">
        <v>11</v>
      </c>
      <c r="F38" s="162"/>
      <c r="G38" s="162"/>
      <c r="H38" s="179">
        <v>2.2999999999999998</v>
      </c>
    </row>
    <row r="39" spans="1:8" ht="16.5" customHeight="1" x14ac:dyDescent="0.2">
      <c r="A39" s="345">
        <v>34</v>
      </c>
      <c r="B39" s="154" t="s">
        <v>280</v>
      </c>
      <c r="C39" s="188" t="s">
        <v>352</v>
      </c>
      <c r="D39" s="156" t="s">
        <v>727</v>
      </c>
      <c r="E39" s="156">
        <v>15.7</v>
      </c>
      <c r="F39" s="162"/>
      <c r="G39" s="162"/>
      <c r="H39" s="179">
        <v>7.2</v>
      </c>
    </row>
    <row r="40" spans="1:8" ht="16.5" customHeight="1" x14ac:dyDescent="0.2">
      <c r="A40" s="341">
        <v>35</v>
      </c>
      <c r="B40" s="139">
        <v>1948121</v>
      </c>
      <c r="C40" s="188" t="s">
        <v>238</v>
      </c>
      <c r="D40" s="156" t="s">
        <v>728</v>
      </c>
      <c r="E40" s="156">
        <v>0.85</v>
      </c>
      <c r="F40" s="162"/>
      <c r="G40" s="162"/>
      <c r="H40" s="179">
        <v>0.1</v>
      </c>
    </row>
    <row r="41" spans="1:8" ht="16.5" customHeight="1" x14ac:dyDescent="0.2">
      <c r="A41" s="341">
        <v>36</v>
      </c>
      <c r="B41" s="154" t="s">
        <v>337</v>
      </c>
      <c r="C41" s="188" t="s">
        <v>338</v>
      </c>
      <c r="D41" s="156" t="s">
        <v>729</v>
      </c>
      <c r="E41" s="156">
        <v>18</v>
      </c>
      <c r="F41" s="162"/>
      <c r="G41" s="162"/>
      <c r="H41" s="179">
        <v>4.0999999999999996</v>
      </c>
    </row>
    <row r="42" spans="1:8" ht="16.5" customHeight="1" x14ac:dyDescent="0.2">
      <c r="A42" s="139">
        <v>37</v>
      </c>
      <c r="B42" s="139">
        <v>1948150</v>
      </c>
      <c r="C42" s="188" t="s">
        <v>237</v>
      </c>
      <c r="D42" s="156" t="s">
        <v>730</v>
      </c>
      <c r="E42" s="156">
        <v>1</v>
      </c>
      <c r="F42" s="162"/>
      <c r="G42" s="162"/>
      <c r="H42" s="179">
        <v>1</v>
      </c>
    </row>
    <row r="43" spans="1:8" ht="16.5" customHeight="1" x14ac:dyDescent="0.2">
      <c r="A43" s="345">
        <v>38</v>
      </c>
      <c r="B43" s="154" t="s">
        <v>287</v>
      </c>
      <c r="C43" s="188" t="s">
        <v>288</v>
      </c>
      <c r="D43" s="156" t="s">
        <v>731</v>
      </c>
      <c r="E43" s="156">
        <v>3.5</v>
      </c>
      <c r="F43" s="162"/>
      <c r="G43" s="162"/>
      <c r="H43" s="179">
        <v>1.2</v>
      </c>
    </row>
    <row r="44" spans="1:8" ht="16.5" customHeight="1" x14ac:dyDescent="0.2">
      <c r="A44" s="345">
        <v>39</v>
      </c>
      <c r="B44" s="154" t="s">
        <v>326</v>
      </c>
      <c r="C44" s="188" t="s">
        <v>327</v>
      </c>
      <c r="D44" s="156" t="s">
        <v>732</v>
      </c>
      <c r="E44" s="156">
        <v>3.2</v>
      </c>
      <c r="F44" s="162"/>
      <c r="G44" s="162"/>
      <c r="H44" s="179">
        <v>0.4</v>
      </c>
    </row>
    <row r="45" spans="1:8" ht="16.5" customHeight="1" x14ac:dyDescent="0.2">
      <c r="A45" s="341">
        <v>40</v>
      </c>
      <c r="B45" s="154" t="s">
        <v>298</v>
      </c>
      <c r="C45" s="188" t="s">
        <v>299</v>
      </c>
      <c r="D45" s="156" t="s">
        <v>733</v>
      </c>
      <c r="E45" s="156">
        <v>1.26</v>
      </c>
      <c r="F45" s="162"/>
      <c r="G45" s="162"/>
      <c r="H45" s="179">
        <v>1.26</v>
      </c>
    </row>
    <row r="46" spans="1:8" ht="16.5" customHeight="1" x14ac:dyDescent="0.2">
      <c r="A46" s="341">
        <v>41</v>
      </c>
      <c r="B46" s="154" t="s">
        <v>264</v>
      </c>
      <c r="C46" s="188" t="s">
        <v>265</v>
      </c>
      <c r="D46" s="156" t="s">
        <v>734</v>
      </c>
      <c r="E46" s="156">
        <v>8</v>
      </c>
      <c r="F46" s="162"/>
      <c r="G46" s="162"/>
      <c r="H46" s="179">
        <v>3.5</v>
      </c>
    </row>
    <row r="47" spans="1:8" ht="16.5" customHeight="1" x14ac:dyDescent="0.2">
      <c r="A47" s="139">
        <v>42</v>
      </c>
      <c r="B47" s="154" t="s">
        <v>320</v>
      </c>
      <c r="C47" s="188" t="s">
        <v>321</v>
      </c>
      <c r="D47" s="156" t="s">
        <v>735</v>
      </c>
      <c r="E47" s="156">
        <v>3</v>
      </c>
      <c r="F47" s="162"/>
      <c r="G47" s="162"/>
      <c r="H47" s="179">
        <v>0.8</v>
      </c>
    </row>
    <row r="48" spans="1:8" ht="16.5" customHeight="1" x14ac:dyDescent="0.2">
      <c r="A48" s="345">
        <v>43</v>
      </c>
      <c r="B48" s="154" t="s">
        <v>300</v>
      </c>
      <c r="C48" s="188" t="s">
        <v>301</v>
      </c>
      <c r="D48" s="156" t="s">
        <v>736</v>
      </c>
      <c r="E48" s="156">
        <v>7.4</v>
      </c>
      <c r="F48" s="162"/>
      <c r="G48" s="162"/>
      <c r="H48" s="179">
        <v>1.1000000000000001</v>
      </c>
    </row>
    <row r="49" spans="1:8" ht="16.5" customHeight="1" x14ac:dyDescent="0.2">
      <c r="A49" s="345">
        <v>44</v>
      </c>
      <c r="B49" s="154" t="s">
        <v>249</v>
      </c>
      <c r="C49" s="188" t="s">
        <v>250</v>
      </c>
      <c r="D49" s="156" t="s">
        <v>575</v>
      </c>
      <c r="E49" s="156">
        <v>8</v>
      </c>
      <c r="F49" s="162"/>
      <c r="G49" s="162"/>
      <c r="H49" s="179">
        <v>8</v>
      </c>
    </row>
    <row r="50" spans="1:8" ht="16.5" customHeight="1" x14ac:dyDescent="0.2">
      <c r="A50" s="341">
        <v>45</v>
      </c>
      <c r="B50" s="154" t="s">
        <v>322</v>
      </c>
      <c r="C50" s="188" t="s">
        <v>323</v>
      </c>
      <c r="D50" s="156" t="s">
        <v>737</v>
      </c>
      <c r="E50" s="156">
        <v>1.5</v>
      </c>
      <c r="F50" s="162"/>
      <c r="G50" s="162"/>
      <c r="H50" s="179">
        <v>0.2</v>
      </c>
    </row>
    <row r="51" spans="1:8" ht="16.5" customHeight="1" x14ac:dyDescent="0.2">
      <c r="A51" s="341">
        <v>46</v>
      </c>
      <c r="B51" s="154" t="s">
        <v>341</v>
      </c>
      <c r="C51" s="188" t="s">
        <v>342</v>
      </c>
      <c r="D51" s="156" t="s">
        <v>738</v>
      </c>
      <c r="E51" s="156">
        <v>0.7</v>
      </c>
      <c r="F51" s="162"/>
      <c r="G51" s="162"/>
      <c r="H51" s="179">
        <v>0.1</v>
      </c>
    </row>
    <row r="52" spans="1:8" ht="16.5" customHeight="1" x14ac:dyDescent="0.2">
      <c r="A52" s="139">
        <v>47</v>
      </c>
      <c r="B52" s="139">
        <v>1948140</v>
      </c>
      <c r="C52" s="188" t="s">
        <v>234</v>
      </c>
      <c r="D52" s="156" t="s">
        <v>739</v>
      </c>
      <c r="E52" s="156">
        <v>1.1000000000000001</v>
      </c>
      <c r="F52" s="162"/>
      <c r="G52" s="162"/>
      <c r="H52" s="179">
        <v>1.1000000000000001</v>
      </c>
    </row>
    <row r="53" spans="1:8" ht="16.5" customHeight="1" x14ac:dyDescent="0.2">
      <c r="A53" s="345">
        <v>48</v>
      </c>
      <c r="B53" s="139">
        <v>1948151</v>
      </c>
      <c r="C53" s="188" t="s">
        <v>239</v>
      </c>
      <c r="D53" s="156" t="s">
        <v>740</v>
      </c>
      <c r="E53" s="156">
        <v>0.7</v>
      </c>
      <c r="F53" s="162"/>
      <c r="G53" s="162"/>
      <c r="H53" s="179">
        <v>0.1</v>
      </c>
    </row>
    <row r="54" spans="1:8" ht="16.5" customHeight="1" x14ac:dyDescent="0.2">
      <c r="A54" s="345">
        <v>49</v>
      </c>
      <c r="B54" s="154" t="s">
        <v>283</v>
      </c>
      <c r="C54" s="188" t="s">
        <v>284</v>
      </c>
      <c r="D54" s="156" t="s">
        <v>741</v>
      </c>
      <c r="E54" s="156">
        <v>0.8</v>
      </c>
      <c r="F54" s="162"/>
      <c r="G54" s="162"/>
      <c r="H54" s="179">
        <v>0.3</v>
      </c>
    </row>
    <row r="55" spans="1:8" ht="16.5" customHeight="1" x14ac:dyDescent="0.2">
      <c r="A55" s="341">
        <v>50</v>
      </c>
      <c r="B55" s="154" t="s">
        <v>310</v>
      </c>
      <c r="C55" s="188" t="s">
        <v>311</v>
      </c>
      <c r="D55" s="156" t="s">
        <v>585</v>
      </c>
      <c r="E55" s="156">
        <v>7.2</v>
      </c>
      <c r="F55" s="162"/>
      <c r="G55" s="162"/>
      <c r="H55" s="179">
        <v>7.2</v>
      </c>
    </row>
    <row r="56" spans="1:8" ht="16.5" customHeight="1" x14ac:dyDescent="0.2">
      <c r="A56" s="341">
        <v>51</v>
      </c>
      <c r="B56" s="139">
        <v>1948138</v>
      </c>
      <c r="C56" s="188" t="s">
        <v>236</v>
      </c>
      <c r="D56" s="156" t="s">
        <v>583</v>
      </c>
      <c r="E56" s="156">
        <v>36</v>
      </c>
      <c r="F56" s="162"/>
      <c r="G56" s="162"/>
      <c r="H56" s="179">
        <v>27.3</v>
      </c>
    </row>
    <row r="57" spans="1:8" ht="16.5" customHeight="1" x14ac:dyDescent="0.2">
      <c r="A57" s="139">
        <v>52</v>
      </c>
      <c r="B57" s="154" t="s">
        <v>285</v>
      </c>
      <c r="C57" s="188" t="s">
        <v>286</v>
      </c>
      <c r="D57" s="156" t="s">
        <v>742</v>
      </c>
      <c r="E57" s="156">
        <v>1.5</v>
      </c>
      <c r="F57" s="162"/>
      <c r="G57" s="162"/>
      <c r="H57" s="179">
        <v>0.7</v>
      </c>
    </row>
    <row r="58" spans="1:8" ht="16.5" customHeight="1" x14ac:dyDescent="0.2">
      <c r="A58" s="345">
        <v>53</v>
      </c>
      <c r="B58" s="154" t="s">
        <v>281</v>
      </c>
      <c r="C58" s="188" t="s">
        <v>282</v>
      </c>
      <c r="D58" s="156" t="s">
        <v>743</v>
      </c>
      <c r="E58" s="156">
        <v>10</v>
      </c>
      <c r="F58" s="162"/>
      <c r="G58" s="162"/>
      <c r="H58" s="179">
        <v>3.6</v>
      </c>
    </row>
    <row r="59" spans="1:8" ht="16.5" customHeight="1" x14ac:dyDescent="0.2">
      <c r="A59" s="345">
        <v>54</v>
      </c>
      <c r="B59" s="154" t="s">
        <v>339</v>
      </c>
      <c r="C59" s="188" t="s">
        <v>340</v>
      </c>
      <c r="D59" s="156" t="s">
        <v>744</v>
      </c>
      <c r="E59" s="156">
        <v>5</v>
      </c>
      <c r="F59" s="162"/>
      <c r="G59" s="162"/>
      <c r="H59" s="179">
        <v>0.8</v>
      </c>
    </row>
    <row r="60" spans="1:8" ht="16.5" customHeight="1" x14ac:dyDescent="0.2">
      <c r="A60" s="341">
        <v>55</v>
      </c>
      <c r="B60" s="139">
        <v>1948116</v>
      </c>
      <c r="C60" s="188" t="s">
        <v>230</v>
      </c>
      <c r="D60" s="156" t="s">
        <v>745</v>
      </c>
      <c r="E60" s="156">
        <v>19.986000000000001</v>
      </c>
      <c r="F60" s="162"/>
      <c r="G60" s="162"/>
      <c r="H60" s="179">
        <v>15.1</v>
      </c>
    </row>
    <row r="61" spans="1:8" ht="16.5" customHeight="1" x14ac:dyDescent="0.2">
      <c r="A61" s="341">
        <v>56</v>
      </c>
      <c r="B61" s="154" t="s">
        <v>308</v>
      </c>
      <c r="C61" s="188" t="s">
        <v>309</v>
      </c>
      <c r="D61" s="156" t="s">
        <v>576</v>
      </c>
      <c r="E61" s="156">
        <v>85</v>
      </c>
      <c r="F61" s="162"/>
      <c r="G61" s="162"/>
      <c r="H61" s="179">
        <v>2</v>
      </c>
    </row>
    <row r="62" spans="1:8" ht="16.5" customHeight="1" x14ac:dyDescent="0.2">
      <c r="A62" s="139">
        <v>57</v>
      </c>
      <c r="B62" s="154" t="s">
        <v>260</v>
      </c>
      <c r="C62" s="188" t="s">
        <v>261</v>
      </c>
      <c r="D62" s="156" t="s">
        <v>746</v>
      </c>
      <c r="E62" s="156">
        <v>23.7</v>
      </c>
      <c r="F62" s="162"/>
      <c r="G62" s="162"/>
      <c r="H62" s="179">
        <v>9.5</v>
      </c>
    </row>
    <row r="63" spans="1:8" ht="16.5" customHeight="1" x14ac:dyDescent="0.2">
      <c r="A63" s="345">
        <v>58</v>
      </c>
      <c r="B63" s="154" t="s">
        <v>258</v>
      </c>
      <c r="C63" s="188" t="s">
        <v>259</v>
      </c>
      <c r="D63" s="156" t="s">
        <v>747</v>
      </c>
      <c r="E63" s="156">
        <v>13.8</v>
      </c>
      <c r="F63" s="162"/>
      <c r="G63" s="162"/>
      <c r="H63" s="179">
        <v>6.8</v>
      </c>
    </row>
    <row r="64" spans="1:8" ht="16.5" customHeight="1" x14ac:dyDescent="0.2">
      <c r="A64" s="345">
        <v>59</v>
      </c>
      <c r="B64" s="154" t="s">
        <v>262</v>
      </c>
      <c r="C64" s="188" t="s">
        <v>263</v>
      </c>
      <c r="D64" s="156" t="s">
        <v>577</v>
      </c>
      <c r="E64" s="156">
        <v>31</v>
      </c>
      <c r="F64" s="162"/>
      <c r="G64" s="162"/>
      <c r="H64" s="179">
        <v>4</v>
      </c>
    </row>
    <row r="65" spans="1:8" ht="16.5" customHeight="1" x14ac:dyDescent="0.2">
      <c r="A65" s="341">
        <v>60</v>
      </c>
      <c r="B65" s="154" t="s">
        <v>293</v>
      </c>
      <c r="C65" s="188" t="s">
        <v>294</v>
      </c>
      <c r="D65" s="156" t="s">
        <v>748</v>
      </c>
      <c r="E65" s="156">
        <v>15.6</v>
      </c>
      <c r="F65" s="162"/>
      <c r="G65" s="162"/>
      <c r="H65" s="179">
        <v>15</v>
      </c>
    </row>
    <row r="66" spans="1:8" ht="16.5" customHeight="1" x14ac:dyDescent="0.2">
      <c r="A66" s="341">
        <v>61</v>
      </c>
      <c r="B66" s="154" t="s">
        <v>296</v>
      </c>
      <c r="C66" s="188" t="s">
        <v>297</v>
      </c>
      <c r="D66" s="156" t="s">
        <v>749</v>
      </c>
      <c r="E66" s="156">
        <v>14</v>
      </c>
      <c r="F66" s="162"/>
      <c r="G66" s="162"/>
      <c r="H66" s="179">
        <v>5.6</v>
      </c>
    </row>
    <row r="67" spans="1:8" ht="16.5" customHeight="1" x14ac:dyDescent="0.2">
      <c r="A67" s="139">
        <v>62</v>
      </c>
      <c r="B67" s="154">
        <v>1948098</v>
      </c>
      <c r="C67" s="188" t="s">
        <v>295</v>
      </c>
      <c r="D67" s="156" t="s">
        <v>750</v>
      </c>
      <c r="E67" s="156">
        <v>19.600000000000001</v>
      </c>
      <c r="F67" s="162"/>
      <c r="G67" s="162"/>
      <c r="H67" s="179">
        <v>8.6</v>
      </c>
    </row>
    <row r="68" spans="1:8" ht="16.5" customHeight="1" x14ac:dyDescent="0.2">
      <c r="A68" s="345">
        <v>63</v>
      </c>
      <c r="B68" s="154" t="s">
        <v>314</v>
      </c>
      <c r="C68" s="188" t="s">
        <v>315</v>
      </c>
      <c r="D68" s="156" t="s">
        <v>584</v>
      </c>
      <c r="E68" s="156">
        <v>31</v>
      </c>
      <c r="F68" s="162"/>
      <c r="G68" s="162"/>
      <c r="H68" s="179">
        <v>23.15</v>
      </c>
    </row>
    <row r="69" spans="1:8" ht="16.5" customHeight="1" x14ac:dyDescent="0.2">
      <c r="A69" s="345">
        <v>64</v>
      </c>
      <c r="B69" s="154" t="s">
        <v>328</v>
      </c>
      <c r="C69" s="188" t="s">
        <v>329</v>
      </c>
      <c r="D69" s="156" t="s">
        <v>589</v>
      </c>
      <c r="E69" s="156">
        <v>126</v>
      </c>
      <c r="F69" s="162"/>
      <c r="G69" s="162"/>
      <c r="H69" s="179">
        <v>88</v>
      </c>
    </row>
    <row r="70" spans="1:8" ht="16.5" customHeight="1" x14ac:dyDescent="0.2">
      <c r="A70" s="341">
        <v>65</v>
      </c>
      <c r="B70" s="154" t="s">
        <v>330</v>
      </c>
      <c r="C70" s="188" t="s">
        <v>331</v>
      </c>
      <c r="D70" s="156" t="s">
        <v>751</v>
      </c>
      <c r="E70" s="156">
        <v>156</v>
      </c>
      <c r="F70" s="162"/>
      <c r="G70" s="162"/>
      <c r="H70" s="179">
        <v>126</v>
      </c>
    </row>
    <row r="71" spans="1:8" ht="16.5" customHeight="1" x14ac:dyDescent="0.2">
      <c r="A71" s="341">
        <v>66</v>
      </c>
      <c r="B71" s="139">
        <v>1948183</v>
      </c>
      <c r="C71" s="348" t="s">
        <v>132</v>
      </c>
      <c r="D71" s="156" t="s">
        <v>133</v>
      </c>
      <c r="E71" s="155">
        <v>71.245999999999995</v>
      </c>
      <c r="F71" s="162"/>
      <c r="G71" s="162"/>
      <c r="H71" s="179">
        <v>30.218</v>
      </c>
    </row>
    <row r="72" spans="1:8" ht="16.5" customHeight="1" x14ac:dyDescent="0.2">
      <c r="A72" s="139">
        <v>67</v>
      </c>
      <c r="B72" s="154" t="s">
        <v>269</v>
      </c>
      <c r="C72" s="188" t="s">
        <v>270</v>
      </c>
      <c r="D72" s="156" t="s">
        <v>581</v>
      </c>
      <c r="E72" s="156">
        <v>13</v>
      </c>
      <c r="F72" s="162"/>
      <c r="G72" s="162"/>
      <c r="H72" s="179">
        <v>13</v>
      </c>
    </row>
    <row r="73" spans="1:8" ht="16.5" customHeight="1" x14ac:dyDescent="0.2">
      <c r="A73" s="345">
        <v>68</v>
      </c>
      <c r="B73" s="154" t="s">
        <v>267</v>
      </c>
      <c r="C73" s="188" t="s">
        <v>268</v>
      </c>
      <c r="D73" s="156" t="s">
        <v>586</v>
      </c>
      <c r="E73" s="156">
        <v>42</v>
      </c>
      <c r="F73" s="162"/>
      <c r="G73" s="162"/>
      <c r="H73" s="179">
        <v>24</v>
      </c>
    </row>
    <row r="74" spans="1:8" ht="16.5" customHeight="1" x14ac:dyDescent="0.2">
      <c r="A74" s="345">
        <v>69</v>
      </c>
      <c r="B74" s="154">
        <v>1948106</v>
      </c>
      <c r="C74" s="188" t="s">
        <v>257</v>
      </c>
      <c r="D74" s="156" t="s">
        <v>752</v>
      </c>
      <c r="E74" s="156">
        <v>26.11</v>
      </c>
      <c r="F74" s="162"/>
      <c r="G74" s="162"/>
      <c r="H74" s="179">
        <v>24</v>
      </c>
    </row>
    <row r="75" spans="1:8" ht="16.5" customHeight="1" x14ac:dyDescent="0.2">
      <c r="A75" s="341">
        <v>70</v>
      </c>
      <c r="B75" s="154" t="s">
        <v>271</v>
      </c>
      <c r="C75" s="188" t="s">
        <v>272</v>
      </c>
      <c r="D75" s="156" t="s">
        <v>753</v>
      </c>
      <c r="E75" s="156">
        <v>12</v>
      </c>
      <c r="F75" s="162"/>
      <c r="G75" s="162"/>
      <c r="H75" s="179">
        <v>1.1000000000000001</v>
      </c>
    </row>
    <row r="76" spans="1:8" ht="16.5" customHeight="1" x14ac:dyDescent="0.2">
      <c r="A76" s="341">
        <v>71</v>
      </c>
      <c r="B76" s="154" t="s">
        <v>273</v>
      </c>
      <c r="C76" s="188" t="s">
        <v>274</v>
      </c>
      <c r="D76" s="156" t="s">
        <v>754</v>
      </c>
      <c r="E76" s="156">
        <v>28</v>
      </c>
      <c r="F76" s="162"/>
      <c r="G76" s="162"/>
      <c r="H76" s="179">
        <v>1.4</v>
      </c>
    </row>
    <row r="77" spans="1:8" ht="16.5" customHeight="1" thickBot="1" x14ac:dyDescent="0.25">
      <c r="A77" s="350">
        <v>72</v>
      </c>
      <c r="B77" s="340">
        <v>1948155</v>
      </c>
      <c r="C77" s="349" t="s">
        <v>240</v>
      </c>
      <c r="D77" s="368" t="s">
        <v>755</v>
      </c>
      <c r="E77" s="156">
        <v>30</v>
      </c>
      <c r="F77" s="342" t="s">
        <v>571</v>
      </c>
      <c r="G77" s="342" t="s">
        <v>572</v>
      </c>
      <c r="H77" s="179">
        <v>10.5</v>
      </c>
    </row>
    <row r="78" spans="1:8" ht="16.5" thickBot="1" x14ac:dyDescent="0.3">
      <c r="A78" s="695" t="s">
        <v>51</v>
      </c>
      <c r="B78" s="696"/>
      <c r="C78" s="696"/>
      <c r="D78" s="697"/>
      <c r="E78" s="183">
        <f>SUM(E6:E77)</f>
        <v>2311.125</v>
      </c>
      <c r="F78" s="114" t="s">
        <v>95</v>
      </c>
      <c r="G78" s="114" t="s">
        <v>95</v>
      </c>
      <c r="H78" s="184">
        <f>SUM(H6:H77)</f>
        <v>1297.4120000000005</v>
      </c>
    </row>
  </sheetData>
  <sortState ref="B6:H77">
    <sortCondition ref="C6:C77"/>
  </sortState>
  <mergeCells count="10">
    <mergeCell ref="A78:D78"/>
    <mergeCell ref="A1:H1"/>
    <mergeCell ref="A2:A4"/>
    <mergeCell ref="B2:B4"/>
    <mergeCell ref="C2:C4"/>
    <mergeCell ref="D2:D4"/>
    <mergeCell ref="F3:G3"/>
    <mergeCell ref="F2:H2"/>
    <mergeCell ref="E2:E4"/>
    <mergeCell ref="H3:H4"/>
  </mergeCells>
  <pageMargins left="0.7" right="0.7" top="0.75" bottom="0.75" header="0.3" footer="0.3"/>
  <pageSetup paperSize="9" scale="8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5"/>
  <sheetViews>
    <sheetView workbookViewId="0">
      <pane ySplit="5" topLeftCell="A6" activePane="bottomLeft" state="frozen"/>
      <selection pane="bottomLeft" activeCell="F98" sqref="F98"/>
    </sheetView>
  </sheetViews>
  <sheetFormatPr defaultColWidth="8.85546875" defaultRowHeight="12.75" x14ac:dyDescent="0.2"/>
  <cols>
    <col min="1" max="1" width="8.28515625" customWidth="1"/>
    <col min="2" max="2" width="12.140625" customWidth="1"/>
    <col min="3" max="4" width="27.42578125" customWidth="1"/>
    <col min="5" max="5" width="13.7109375" customWidth="1"/>
    <col min="6" max="6" width="13.85546875" customWidth="1"/>
    <col min="7" max="7" width="24.42578125" customWidth="1"/>
  </cols>
  <sheetData>
    <row r="1" spans="1:8" ht="33" customHeight="1" thickBot="1" x14ac:dyDescent="0.3">
      <c r="A1" s="698" t="s">
        <v>87</v>
      </c>
      <c r="B1" s="698"/>
      <c r="C1" s="698"/>
      <c r="D1" s="698"/>
      <c r="E1" s="698"/>
      <c r="F1" s="698"/>
      <c r="G1" s="698"/>
    </row>
    <row r="2" spans="1:8" ht="16.5" customHeight="1" x14ac:dyDescent="0.2">
      <c r="A2" s="742" t="s">
        <v>80</v>
      </c>
      <c r="B2" s="702" t="s">
        <v>25</v>
      </c>
      <c r="C2" s="745" t="s">
        <v>84</v>
      </c>
      <c r="D2" s="748" t="s">
        <v>85</v>
      </c>
      <c r="E2" s="712" t="s">
        <v>86</v>
      </c>
      <c r="F2" s="713"/>
      <c r="G2" s="714"/>
    </row>
    <row r="3" spans="1:8" ht="16.5" customHeight="1" x14ac:dyDescent="0.2">
      <c r="A3" s="743"/>
      <c r="B3" s="703"/>
      <c r="C3" s="746"/>
      <c r="D3" s="749"/>
      <c r="E3" s="751" t="s">
        <v>28</v>
      </c>
      <c r="F3" s="751"/>
      <c r="G3" s="752" t="s">
        <v>79</v>
      </c>
    </row>
    <row r="4" spans="1:8" ht="29.25" thickBot="1" x14ac:dyDescent="0.25">
      <c r="A4" s="744"/>
      <c r="B4" s="704"/>
      <c r="C4" s="747"/>
      <c r="D4" s="750"/>
      <c r="E4" s="300" t="s">
        <v>33</v>
      </c>
      <c r="F4" s="300" t="s">
        <v>34</v>
      </c>
      <c r="G4" s="753"/>
    </row>
    <row r="5" spans="1:8" ht="13.5" thickBot="1" x14ac:dyDescent="0.25">
      <c r="A5" s="115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6">
        <v>7</v>
      </c>
    </row>
    <row r="6" spans="1:8" ht="14.25" x14ac:dyDescent="0.2">
      <c r="A6" s="732" t="s">
        <v>60</v>
      </c>
      <c r="B6" s="713"/>
      <c r="C6" s="713"/>
      <c r="D6" s="713"/>
      <c r="E6" s="713"/>
      <c r="F6" s="713"/>
      <c r="G6" s="714"/>
    </row>
    <row r="7" spans="1:8" ht="15" x14ac:dyDescent="0.25">
      <c r="A7" s="117"/>
      <c r="B7" s="118"/>
      <c r="C7" s="118"/>
      <c r="D7" s="118"/>
      <c r="E7" s="118"/>
      <c r="F7" s="118"/>
      <c r="G7" s="119"/>
    </row>
    <row r="8" spans="1:8" ht="15" x14ac:dyDescent="0.25">
      <c r="A8" s="117"/>
      <c r="B8" s="118"/>
      <c r="C8" s="118"/>
      <c r="D8" s="118"/>
      <c r="E8" s="118"/>
      <c r="F8" s="118"/>
      <c r="G8" s="119"/>
    </row>
    <row r="9" spans="1:8" ht="15" x14ac:dyDescent="0.25">
      <c r="A9" s="117"/>
      <c r="B9" s="118"/>
      <c r="C9" s="118"/>
      <c r="D9" s="118"/>
      <c r="E9" s="118"/>
      <c r="F9" s="118"/>
      <c r="G9" s="119"/>
    </row>
    <row r="10" spans="1:8" ht="30.75" customHeight="1" thickBot="1" x14ac:dyDescent="0.3">
      <c r="A10" s="723" t="s">
        <v>10</v>
      </c>
      <c r="B10" s="724"/>
      <c r="C10" s="725"/>
      <c r="D10" s="120"/>
      <c r="E10" s="120"/>
      <c r="F10" s="120"/>
      <c r="G10" s="121"/>
    </row>
    <row r="11" spans="1:8" ht="14.25" x14ac:dyDescent="0.2">
      <c r="A11" s="733" t="s">
        <v>88</v>
      </c>
      <c r="B11" s="734"/>
      <c r="C11" s="734"/>
      <c r="D11" s="734"/>
      <c r="E11" s="734"/>
      <c r="F11" s="734"/>
      <c r="G11" s="735"/>
    </row>
    <row r="12" spans="1:8" ht="14.25" x14ac:dyDescent="0.2">
      <c r="A12" s="736" t="s">
        <v>152</v>
      </c>
      <c r="B12" s="682"/>
      <c r="C12" s="682"/>
      <c r="D12" s="682"/>
      <c r="E12" s="682"/>
      <c r="F12" s="682"/>
      <c r="G12" s="737"/>
    </row>
    <row r="13" spans="1:8" ht="15" x14ac:dyDescent="0.25">
      <c r="A13" s="117"/>
      <c r="B13" s="118">
        <v>2447121</v>
      </c>
      <c r="C13" s="118" t="s">
        <v>147</v>
      </c>
      <c r="D13" s="118">
        <v>1.19</v>
      </c>
      <c r="E13" s="145" t="s">
        <v>145</v>
      </c>
      <c r="F13" s="145" t="s">
        <v>655</v>
      </c>
      <c r="G13" s="307">
        <v>0.82</v>
      </c>
      <c r="H13" s="299"/>
    </row>
    <row r="14" spans="1:8" ht="15" x14ac:dyDescent="0.25">
      <c r="A14" s="117"/>
      <c r="B14" s="118">
        <v>2448475</v>
      </c>
      <c r="C14" s="118" t="s">
        <v>377</v>
      </c>
      <c r="D14" s="118">
        <v>1.76</v>
      </c>
      <c r="E14" s="145" t="s">
        <v>145</v>
      </c>
      <c r="F14" s="145" t="s">
        <v>553</v>
      </c>
      <c r="G14" s="307">
        <v>1</v>
      </c>
      <c r="H14" s="299"/>
    </row>
    <row r="15" spans="1:8" ht="15" x14ac:dyDescent="0.25">
      <c r="A15" s="117"/>
      <c r="B15" s="118">
        <v>2447108</v>
      </c>
      <c r="C15" s="118" t="s">
        <v>672</v>
      </c>
      <c r="D15" s="118">
        <v>1.34</v>
      </c>
      <c r="E15" s="145" t="s">
        <v>149</v>
      </c>
      <c r="F15" s="145" t="s">
        <v>150</v>
      </c>
      <c r="G15" s="308">
        <v>0.5</v>
      </c>
      <c r="H15" s="299"/>
    </row>
    <row r="16" spans="1:8" ht="15" x14ac:dyDescent="0.25">
      <c r="A16" s="117"/>
      <c r="B16" s="118">
        <v>2447951</v>
      </c>
      <c r="C16" s="118" t="s">
        <v>402</v>
      </c>
      <c r="D16" s="118">
        <v>3.5</v>
      </c>
      <c r="E16" s="197" t="s">
        <v>657</v>
      </c>
      <c r="F16" s="197" t="s">
        <v>549</v>
      </c>
      <c r="G16" s="308">
        <v>0.63</v>
      </c>
      <c r="H16" s="299"/>
    </row>
    <row r="17" spans="1:8" ht="15" x14ac:dyDescent="0.25">
      <c r="A17" s="117"/>
      <c r="B17" s="118">
        <v>2448397</v>
      </c>
      <c r="C17" s="118" t="s">
        <v>463</v>
      </c>
      <c r="D17" s="118">
        <v>1.67</v>
      </c>
      <c r="E17" s="141" t="s">
        <v>619</v>
      </c>
      <c r="F17" s="141" t="s">
        <v>598</v>
      </c>
      <c r="G17" s="307">
        <v>0.86</v>
      </c>
      <c r="H17" s="299"/>
    </row>
    <row r="18" spans="1:8" ht="15" x14ac:dyDescent="0.25">
      <c r="A18" s="117"/>
      <c r="B18" s="118">
        <v>2448775</v>
      </c>
      <c r="C18" s="118" t="s">
        <v>418</v>
      </c>
      <c r="D18" s="118">
        <v>0.51</v>
      </c>
      <c r="E18" s="141" t="s">
        <v>145</v>
      </c>
      <c r="F18" s="141" t="s">
        <v>622</v>
      </c>
      <c r="G18" s="307">
        <v>0.23</v>
      </c>
      <c r="H18" s="299"/>
    </row>
    <row r="19" spans="1:8" ht="15" x14ac:dyDescent="0.25">
      <c r="A19" s="117"/>
      <c r="B19" s="118">
        <v>2447603</v>
      </c>
      <c r="C19" s="118" t="s">
        <v>409</v>
      </c>
      <c r="D19" s="118">
        <v>1.59</v>
      </c>
      <c r="E19" s="141" t="s">
        <v>145</v>
      </c>
      <c r="F19" s="141" t="s">
        <v>658</v>
      </c>
      <c r="G19" s="307">
        <v>0.93</v>
      </c>
      <c r="H19" s="299"/>
    </row>
    <row r="20" spans="1:8" ht="15" x14ac:dyDescent="0.25">
      <c r="A20" s="117"/>
      <c r="B20" s="118">
        <v>2448240</v>
      </c>
      <c r="C20" s="118" t="s">
        <v>148</v>
      </c>
      <c r="D20" s="118">
        <v>0.7</v>
      </c>
      <c r="E20" s="141" t="s">
        <v>145</v>
      </c>
      <c r="F20" s="141" t="s">
        <v>660</v>
      </c>
      <c r="G20" s="308">
        <v>0.7</v>
      </c>
      <c r="H20" s="299"/>
    </row>
    <row r="21" spans="1:8" ht="30" x14ac:dyDescent="0.25">
      <c r="A21" s="117"/>
      <c r="B21" s="118"/>
      <c r="C21" s="152" t="s">
        <v>673</v>
      </c>
      <c r="D21" s="118">
        <v>6.65</v>
      </c>
      <c r="E21" s="141" t="s">
        <v>145</v>
      </c>
      <c r="F21" s="141" t="s">
        <v>661</v>
      </c>
      <c r="G21" s="307">
        <v>4.7</v>
      </c>
      <c r="H21" s="299"/>
    </row>
    <row r="22" spans="1:8" ht="15" x14ac:dyDescent="0.25">
      <c r="A22" s="117"/>
      <c r="B22" s="118">
        <v>2448351</v>
      </c>
      <c r="C22" s="118" t="s">
        <v>401</v>
      </c>
      <c r="D22" s="118">
        <v>2.15</v>
      </c>
      <c r="E22" s="141" t="s">
        <v>145</v>
      </c>
      <c r="F22" s="141" t="s">
        <v>674</v>
      </c>
      <c r="G22" s="307">
        <v>2.15</v>
      </c>
      <c r="H22" s="299"/>
    </row>
    <row r="23" spans="1:8" ht="15" x14ac:dyDescent="0.25">
      <c r="A23" s="117"/>
      <c r="B23" s="118">
        <v>2447956</v>
      </c>
      <c r="C23" s="118" t="s">
        <v>146</v>
      </c>
      <c r="D23" s="118">
        <v>1.56</v>
      </c>
      <c r="E23" s="145" t="s">
        <v>145</v>
      </c>
      <c r="F23" s="145" t="s">
        <v>656</v>
      </c>
      <c r="G23" s="307">
        <v>1.05</v>
      </c>
      <c r="H23" s="299"/>
    </row>
    <row r="24" spans="1:8" ht="15" x14ac:dyDescent="0.25">
      <c r="A24" s="117"/>
      <c r="B24" s="118">
        <v>2449168</v>
      </c>
      <c r="C24" s="118" t="s">
        <v>479</v>
      </c>
      <c r="D24" s="118">
        <v>0.67</v>
      </c>
      <c r="E24" s="145" t="s">
        <v>145</v>
      </c>
      <c r="F24" s="145" t="s">
        <v>160</v>
      </c>
      <c r="G24" s="308">
        <v>0.67</v>
      </c>
      <c r="H24" s="299"/>
    </row>
    <row r="25" spans="1:8" ht="15" x14ac:dyDescent="0.25">
      <c r="A25" s="117"/>
      <c r="B25" s="738">
        <v>2449163</v>
      </c>
      <c r="C25" s="740" t="s">
        <v>462</v>
      </c>
      <c r="D25" s="738">
        <v>5.47</v>
      </c>
      <c r="E25" s="145" t="s">
        <v>145</v>
      </c>
      <c r="F25" s="301" t="s">
        <v>679</v>
      </c>
      <c r="G25" s="307">
        <v>1.39</v>
      </c>
      <c r="H25" s="299"/>
    </row>
    <row r="26" spans="1:8" ht="15" x14ac:dyDescent="0.25">
      <c r="A26" s="117"/>
      <c r="B26" s="739"/>
      <c r="C26" s="741"/>
      <c r="D26" s="739"/>
      <c r="E26" s="145" t="s">
        <v>643</v>
      </c>
      <c r="F26" s="301" t="s">
        <v>680</v>
      </c>
      <c r="G26" s="307">
        <v>2.08</v>
      </c>
      <c r="H26" s="299"/>
    </row>
    <row r="27" spans="1:8" ht="15" x14ac:dyDescent="0.25">
      <c r="A27" s="117"/>
      <c r="B27" s="118">
        <v>2448235</v>
      </c>
      <c r="C27" s="118" t="s">
        <v>455</v>
      </c>
      <c r="D27" s="118">
        <v>1.76</v>
      </c>
      <c r="E27" s="197" t="s">
        <v>145</v>
      </c>
      <c r="F27" s="197" t="s">
        <v>630</v>
      </c>
      <c r="G27" s="308">
        <v>1.76</v>
      </c>
      <c r="H27" s="299"/>
    </row>
    <row r="28" spans="1:8" ht="15" x14ac:dyDescent="0.25">
      <c r="A28" s="117"/>
      <c r="B28" s="118">
        <v>2449138</v>
      </c>
      <c r="C28" s="118" t="s">
        <v>375</v>
      </c>
      <c r="D28" s="118">
        <v>0.89</v>
      </c>
      <c r="E28" s="292" t="s">
        <v>145</v>
      </c>
      <c r="F28" s="292" t="s">
        <v>678</v>
      </c>
      <c r="G28" s="309">
        <v>0.89400000000000002</v>
      </c>
      <c r="H28" s="299"/>
    </row>
    <row r="29" spans="1:8" ht="45" x14ac:dyDescent="0.25">
      <c r="A29" s="117"/>
      <c r="B29" s="118"/>
      <c r="C29" s="298" t="s">
        <v>633</v>
      </c>
      <c r="D29" s="118">
        <v>2.8</v>
      </c>
      <c r="E29" s="141" t="s">
        <v>145</v>
      </c>
      <c r="F29" s="141" t="s">
        <v>534</v>
      </c>
      <c r="G29" s="307">
        <v>2.8</v>
      </c>
      <c r="H29" s="299"/>
    </row>
    <row r="30" spans="1:8" ht="13.9" customHeight="1" x14ac:dyDescent="0.25">
      <c r="A30" s="117"/>
      <c r="B30" s="118">
        <v>2448524</v>
      </c>
      <c r="C30" s="118" t="s">
        <v>469</v>
      </c>
      <c r="D30" s="118">
        <v>0.48</v>
      </c>
      <c r="E30" s="141" t="s">
        <v>145</v>
      </c>
      <c r="F30" s="141" t="s">
        <v>537</v>
      </c>
      <c r="G30" s="307">
        <v>0.48</v>
      </c>
      <c r="H30" s="299"/>
    </row>
    <row r="31" spans="1:8" ht="15" x14ac:dyDescent="0.25">
      <c r="A31" s="117"/>
      <c r="B31" s="118">
        <v>2449028</v>
      </c>
      <c r="C31" s="118" t="s">
        <v>442</v>
      </c>
      <c r="D31" s="118">
        <v>3.74</v>
      </c>
      <c r="E31" s="145" t="s">
        <v>681</v>
      </c>
      <c r="F31" s="145" t="s">
        <v>647</v>
      </c>
      <c r="G31" s="308">
        <v>0.21</v>
      </c>
      <c r="H31" s="299"/>
    </row>
    <row r="32" spans="1:8" ht="15" x14ac:dyDescent="0.25">
      <c r="A32" s="117"/>
      <c r="B32" s="118">
        <v>2449188</v>
      </c>
      <c r="C32" s="118" t="s">
        <v>663</v>
      </c>
      <c r="D32" s="118">
        <v>0.53</v>
      </c>
      <c r="E32" s="141" t="s">
        <v>145</v>
      </c>
      <c r="F32" s="141" t="s">
        <v>664</v>
      </c>
      <c r="G32" s="308">
        <v>0.53</v>
      </c>
      <c r="H32" s="299"/>
    </row>
    <row r="33" spans="1:8" ht="15" x14ac:dyDescent="0.25">
      <c r="A33" s="117"/>
      <c r="B33" s="118">
        <v>2448519</v>
      </c>
      <c r="C33" s="118" t="s">
        <v>384</v>
      </c>
      <c r="D33" s="118">
        <v>0.9</v>
      </c>
      <c r="E33" s="141" t="s">
        <v>145</v>
      </c>
      <c r="F33" s="141" t="s">
        <v>682</v>
      </c>
      <c r="G33" s="307">
        <v>0.44700000000000001</v>
      </c>
      <c r="H33" s="299"/>
    </row>
    <row r="34" spans="1:8" ht="15" x14ac:dyDescent="0.25">
      <c r="A34" s="117"/>
      <c r="B34" s="118">
        <v>2446928</v>
      </c>
      <c r="C34" s="118" t="s">
        <v>483</v>
      </c>
      <c r="D34" s="118">
        <v>1.635</v>
      </c>
      <c r="E34" s="145" t="s">
        <v>598</v>
      </c>
      <c r="F34" s="145" t="s">
        <v>683</v>
      </c>
      <c r="G34" s="310">
        <v>0.83799999999999997</v>
      </c>
      <c r="H34" s="299"/>
    </row>
    <row r="35" spans="1:8" ht="15" x14ac:dyDescent="0.25">
      <c r="A35" s="117"/>
      <c r="B35" s="118">
        <v>2448010</v>
      </c>
      <c r="C35" s="118" t="s">
        <v>387</v>
      </c>
      <c r="D35" s="118">
        <v>1.28</v>
      </c>
      <c r="E35" s="141" t="s">
        <v>145</v>
      </c>
      <c r="F35" s="141" t="s">
        <v>642</v>
      </c>
      <c r="G35" s="310">
        <v>1.28</v>
      </c>
      <c r="H35" s="299"/>
    </row>
    <row r="36" spans="1:8" ht="15" x14ac:dyDescent="0.25">
      <c r="A36" s="117"/>
      <c r="B36" s="118">
        <v>2447382</v>
      </c>
      <c r="C36" s="118" t="s">
        <v>408</v>
      </c>
      <c r="D36" s="118">
        <v>1.79</v>
      </c>
      <c r="E36" s="141" t="s">
        <v>145</v>
      </c>
      <c r="F36" s="141" t="s">
        <v>643</v>
      </c>
      <c r="G36" s="310">
        <v>1.79</v>
      </c>
      <c r="H36" s="299"/>
    </row>
    <row r="37" spans="1:8" ht="15" x14ac:dyDescent="0.25">
      <c r="A37" s="117"/>
      <c r="B37" s="118">
        <v>2446983</v>
      </c>
      <c r="C37" s="118" t="s">
        <v>404</v>
      </c>
      <c r="D37" s="118">
        <v>2.64</v>
      </c>
      <c r="E37" s="141" t="s">
        <v>648</v>
      </c>
      <c r="F37" s="141" t="s">
        <v>684</v>
      </c>
      <c r="G37" s="307">
        <v>0.44</v>
      </c>
      <c r="H37" s="299"/>
    </row>
    <row r="38" spans="1:8" ht="15" x14ac:dyDescent="0.25">
      <c r="A38" s="117"/>
      <c r="B38" s="118">
        <v>2447399</v>
      </c>
      <c r="C38" s="118" t="s">
        <v>457</v>
      </c>
      <c r="D38" s="118">
        <v>3.81</v>
      </c>
      <c r="E38" s="141" t="s">
        <v>145</v>
      </c>
      <c r="F38" s="141" t="s">
        <v>645</v>
      </c>
      <c r="G38" s="310">
        <v>3.81</v>
      </c>
      <c r="H38" s="299"/>
    </row>
    <row r="39" spans="1:8" ht="15" x14ac:dyDescent="0.25">
      <c r="A39" s="117"/>
      <c r="B39" s="118">
        <v>2447932</v>
      </c>
      <c r="C39" s="118" t="s">
        <v>665</v>
      </c>
      <c r="D39" s="118">
        <v>1.95</v>
      </c>
      <c r="E39" s="141" t="s">
        <v>145</v>
      </c>
      <c r="F39" s="141" t="s">
        <v>629</v>
      </c>
      <c r="G39" s="307">
        <v>1.95</v>
      </c>
      <c r="H39" s="299"/>
    </row>
    <row r="40" spans="1:8" ht="15" x14ac:dyDescent="0.25">
      <c r="A40" s="117"/>
      <c r="B40" s="118">
        <v>2448871</v>
      </c>
      <c r="C40" s="118" t="s">
        <v>666</v>
      </c>
      <c r="D40" s="118">
        <v>1.1000000000000001</v>
      </c>
      <c r="E40" s="141" t="s">
        <v>145</v>
      </c>
      <c r="F40" s="141" t="s">
        <v>150</v>
      </c>
      <c r="G40" s="307">
        <v>1.1000000000000001</v>
      </c>
      <c r="H40" s="299"/>
    </row>
    <row r="41" spans="1:8" ht="15" x14ac:dyDescent="0.25">
      <c r="A41" s="117"/>
      <c r="B41" s="118">
        <v>2448219</v>
      </c>
      <c r="C41" s="118" t="s">
        <v>465</v>
      </c>
      <c r="D41" s="118">
        <v>0.73</v>
      </c>
      <c r="E41" s="141" t="s">
        <v>145</v>
      </c>
      <c r="F41" s="141" t="s">
        <v>158</v>
      </c>
      <c r="G41" s="311">
        <v>0.73</v>
      </c>
      <c r="H41" s="299"/>
    </row>
    <row r="42" spans="1:8" ht="15" x14ac:dyDescent="0.25">
      <c r="A42" s="117"/>
      <c r="B42" s="118">
        <v>2447635</v>
      </c>
      <c r="C42" s="118" t="s">
        <v>667</v>
      </c>
      <c r="D42" s="118">
        <v>1.68</v>
      </c>
      <c r="E42" s="145" t="s">
        <v>611</v>
      </c>
      <c r="F42" s="145" t="s">
        <v>685</v>
      </c>
      <c r="G42" s="311">
        <v>0.68</v>
      </c>
      <c r="H42" s="299"/>
    </row>
    <row r="43" spans="1:8" ht="15" x14ac:dyDescent="0.25">
      <c r="A43" s="117"/>
      <c r="B43" s="118">
        <v>2447111</v>
      </c>
      <c r="C43" s="118" t="s">
        <v>485</v>
      </c>
      <c r="D43" s="118">
        <v>1.65</v>
      </c>
      <c r="E43" s="141" t="s">
        <v>145</v>
      </c>
      <c r="F43" s="141" t="s">
        <v>686</v>
      </c>
      <c r="G43" s="310">
        <v>1.65</v>
      </c>
      <c r="H43" s="299"/>
    </row>
    <row r="44" spans="1:8" ht="13.9" customHeight="1" x14ac:dyDescent="0.25">
      <c r="A44" s="117"/>
      <c r="B44" s="118">
        <v>2448964</v>
      </c>
      <c r="C44" s="118" t="s">
        <v>467</v>
      </c>
      <c r="D44" s="118">
        <v>1.35</v>
      </c>
      <c r="E44" s="141" t="s">
        <v>145</v>
      </c>
      <c r="F44" s="141" t="s">
        <v>631</v>
      </c>
      <c r="G44" s="311">
        <v>1.35</v>
      </c>
      <c r="H44" s="299"/>
    </row>
    <row r="45" spans="1:8" ht="13.9" customHeight="1" x14ac:dyDescent="0.25">
      <c r="A45" s="117"/>
      <c r="B45" s="118">
        <v>2447433</v>
      </c>
      <c r="C45" s="118" t="s">
        <v>381</v>
      </c>
      <c r="D45" s="118">
        <v>3.62</v>
      </c>
      <c r="E45" s="141" t="s">
        <v>145</v>
      </c>
      <c r="F45" s="145" t="s">
        <v>632</v>
      </c>
      <c r="G45" s="311">
        <v>3.62</v>
      </c>
      <c r="H45" s="299"/>
    </row>
    <row r="46" spans="1:8" ht="15" x14ac:dyDescent="0.25">
      <c r="A46" s="117"/>
      <c r="B46" s="118">
        <v>2448113</v>
      </c>
      <c r="C46" s="118" t="s">
        <v>450</v>
      </c>
      <c r="D46" s="118">
        <v>1.43</v>
      </c>
      <c r="E46" s="141" t="s">
        <v>145</v>
      </c>
      <c r="F46" s="141" t="s">
        <v>635</v>
      </c>
      <c r="G46" s="310">
        <v>1.43</v>
      </c>
      <c r="H46" s="299"/>
    </row>
    <row r="47" spans="1:8" ht="15" x14ac:dyDescent="0.25">
      <c r="A47" s="117"/>
      <c r="B47" s="118">
        <v>2448113</v>
      </c>
      <c r="C47" s="118" t="s">
        <v>444</v>
      </c>
      <c r="D47" s="118">
        <v>0.72</v>
      </c>
      <c r="E47" s="141" t="s">
        <v>145</v>
      </c>
      <c r="F47" s="145" t="s">
        <v>687</v>
      </c>
      <c r="G47" s="310">
        <v>0.72</v>
      </c>
      <c r="H47" s="299"/>
    </row>
    <row r="48" spans="1:8" ht="15" x14ac:dyDescent="0.25">
      <c r="A48" s="117"/>
      <c r="B48" s="118">
        <v>2448113</v>
      </c>
      <c r="C48" s="118" t="s">
        <v>395</v>
      </c>
      <c r="D48" s="118">
        <v>2.0499999999999998</v>
      </c>
      <c r="E48" s="145" t="s">
        <v>688</v>
      </c>
      <c r="F48" s="145" t="s">
        <v>689</v>
      </c>
      <c r="G48" s="310">
        <v>0.36</v>
      </c>
      <c r="H48" s="299"/>
    </row>
    <row r="49" spans="1:8" ht="15" x14ac:dyDescent="0.25">
      <c r="A49" s="117"/>
      <c r="B49" s="118">
        <v>2447000</v>
      </c>
      <c r="C49" s="118" t="s">
        <v>356</v>
      </c>
      <c r="D49" s="118">
        <v>0.76</v>
      </c>
      <c r="E49" s="141" t="s">
        <v>145</v>
      </c>
      <c r="F49" s="145" t="s">
        <v>615</v>
      </c>
      <c r="G49" s="310">
        <v>0.76</v>
      </c>
      <c r="H49" s="299"/>
    </row>
    <row r="50" spans="1:8" ht="15" x14ac:dyDescent="0.25">
      <c r="A50" s="117"/>
      <c r="B50" s="118">
        <v>2446912</v>
      </c>
      <c r="C50" s="118" t="s">
        <v>448</v>
      </c>
      <c r="D50" s="118">
        <v>1.38</v>
      </c>
      <c r="E50" s="141" t="s">
        <v>145</v>
      </c>
      <c r="F50" s="141" t="s">
        <v>677</v>
      </c>
      <c r="G50" s="307">
        <v>1.38</v>
      </c>
      <c r="H50" s="299"/>
    </row>
    <row r="51" spans="1:8" ht="15" x14ac:dyDescent="0.25">
      <c r="A51" s="117"/>
      <c r="B51" s="118">
        <v>2446918</v>
      </c>
      <c r="C51" s="118" t="s">
        <v>440</v>
      </c>
      <c r="D51" s="118">
        <v>1.1399999999999999</v>
      </c>
      <c r="E51" s="141" t="s">
        <v>145</v>
      </c>
      <c r="F51" s="141" t="s">
        <v>690</v>
      </c>
      <c r="G51" s="311">
        <v>1.1399999999999999</v>
      </c>
      <c r="H51" s="299"/>
    </row>
    <row r="52" spans="1:8" ht="15" x14ac:dyDescent="0.25">
      <c r="A52" s="117"/>
      <c r="B52" s="118">
        <v>2448843</v>
      </c>
      <c r="C52" s="118" t="s">
        <v>367</v>
      </c>
      <c r="D52" s="118">
        <v>1.45</v>
      </c>
      <c r="E52" s="141" t="s">
        <v>145</v>
      </c>
      <c r="F52" s="141" t="s">
        <v>533</v>
      </c>
      <c r="G52" s="307">
        <v>1.45</v>
      </c>
      <c r="H52" s="299"/>
    </row>
    <row r="53" spans="1:8" ht="15" x14ac:dyDescent="0.25">
      <c r="A53" s="117"/>
      <c r="B53" s="118">
        <v>2448418</v>
      </c>
      <c r="C53" s="118" t="s">
        <v>481</v>
      </c>
      <c r="D53" s="118">
        <v>3.3</v>
      </c>
      <c r="E53" s="141" t="s">
        <v>145</v>
      </c>
      <c r="F53" s="145" t="s">
        <v>641</v>
      </c>
      <c r="G53" s="310">
        <v>3.3</v>
      </c>
      <c r="H53" s="299"/>
    </row>
    <row r="54" spans="1:8" ht="15" x14ac:dyDescent="0.25">
      <c r="A54" s="117"/>
      <c r="B54" s="118">
        <v>2447019</v>
      </c>
      <c r="C54" s="118" t="s">
        <v>460</v>
      </c>
      <c r="D54" s="118">
        <v>4.01</v>
      </c>
      <c r="E54" s="145" t="s">
        <v>691</v>
      </c>
      <c r="F54" s="145" t="s">
        <v>692</v>
      </c>
      <c r="G54" s="310">
        <v>3.1</v>
      </c>
      <c r="H54" s="299"/>
    </row>
    <row r="55" spans="1:8" ht="15" x14ac:dyDescent="0.25">
      <c r="A55" s="117"/>
      <c r="B55" s="118">
        <v>2448017</v>
      </c>
      <c r="C55" s="118" t="s">
        <v>360</v>
      </c>
      <c r="D55" s="118">
        <v>0.59</v>
      </c>
      <c r="E55" s="141" t="s">
        <v>145</v>
      </c>
      <c r="F55" s="145" t="s">
        <v>636</v>
      </c>
      <c r="G55" s="309">
        <v>0.59</v>
      </c>
      <c r="H55" s="299"/>
    </row>
    <row r="56" spans="1:8" ht="15" x14ac:dyDescent="0.25">
      <c r="A56" s="117"/>
      <c r="B56" s="118">
        <v>2448900</v>
      </c>
      <c r="C56" s="118" t="s">
        <v>447</v>
      </c>
      <c r="D56" s="146">
        <v>1.0649999999999999</v>
      </c>
      <c r="E56" s="141" t="s">
        <v>145</v>
      </c>
      <c r="F56" s="145" t="s">
        <v>693</v>
      </c>
      <c r="G56" s="309">
        <v>1.0649999999999999</v>
      </c>
      <c r="H56" s="299"/>
    </row>
    <row r="57" spans="1:8" ht="15" x14ac:dyDescent="0.25">
      <c r="A57" s="117"/>
      <c r="B57" s="118">
        <v>2446912</v>
      </c>
      <c r="C57" s="118" t="s">
        <v>357</v>
      </c>
      <c r="D57" s="118">
        <v>0.75</v>
      </c>
      <c r="E57" s="141" t="s">
        <v>145</v>
      </c>
      <c r="F57" s="145" t="s">
        <v>612</v>
      </c>
      <c r="G57" s="307">
        <v>0.75</v>
      </c>
      <c r="H57" s="299"/>
    </row>
    <row r="58" spans="1:8" ht="15" x14ac:dyDescent="0.25">
      <c r="A58" s="117"/>
      <c r="B58" s="118">
        <v>2447853</v>
      </c>
      <c r="C58" s="118" t="s">
        <v>427</v>
      </c>
      <c r="D58" s="118">
        <v>0.44</v>
      </c>
      <c r="E58" s="141" t="s">
        <v>145</v>
      </c>
      <c r="F58" s="145" t="s">
        <v>640</v>
      </c>
      <c r="G58" s="310">
        <v>0.44</v>
      </c>
      <c r="H58" s="299"/>
    </row>
    <row r="59" spans="1:8" ht="15" x14ac:dyDescent="0.25">
      <c r="A59" s="117"/>
      <c r="B59" s="118">
        <v>2447125</v>
      </c>
      <c r="C59" s="118" t="s">
        <v>423</v>
      </c>
      <c r="D59" s="118">
        <v>2.09</v>
      </c>
      <c r="E59" s="141" t="s">
        <v>145</v>
      </c>
      <c r="F59" s="145" t="s">
        <v>627</v>
      </c>
      <c r="G59" s="308">
        <v>2.09</v>
      </c>
      <c r="H59" s="299"/>
    </row>
    <row r="60" spans="1:8" ht="15" x14ac:dyDescent="0.25">
      <c r="A60" s="117"/>
      <c r="B60" s="118">
        <v>2447725</v>
      </c>
      <c r="C60" s="118" t="s">
        <v>453</v>
      </c>
      <c r="D60" s="118">
        <v>3.55</v>
      </c>
      <c r="E60" s="141" t="s">
        <v>145</v>
      </c>
      <c r="F60" s="145" t="s">
        <v>535</v>
      </c>
      <c r="G60" s="308">
        <v>3.55</v>
      </c>
      <c r="H60" s="299"/>
    </row>
    <row r="61" spans="1:8" ht="15" x14ac:dyDescent="0.25">
      <c r="A61" s="117"/>
      <c r="B61" s="118">
        <v>2448053</v>
      </c>
      <c r="C61" s="118" t="s">
        <v>151</v>
      </c>
      <c r="D61" s="118">
        <v>1.32</v>
      </c>
      <c r="E61" s="141" t="s">
        <v>145</v>
      </c>
      <c r="F61" s="145" t="s">
        <v>602</v>
      </c>
      <c r="G61" s="308">
        <v>0.55000000000000004</v>
      </c>
      <c r="H61" s="299"/>
    </row>
    <row r="62" spans="1:8" ht="15" x14ac:dyDescent="0.25">
      <c r="A62" s="117"/>
      <c r="B62" s="118">
        <v>2447564</v>
      </c>
      <c r="C62" s="118" t="s">
        <v>370</v>
      </c>
      <c r="D62" s="118">
        <v>1.92</v>
      </c>
      <c r="E62" s="141" t="s">
        <v>145</v>
      </c>
      <c r="F62" s="145" t="s">
        <v>634</v>
      </c>
      <c r="G62" s="310">
        <v>1.92</v>
      </c>
      <c r="H62" s="299"/>
    </row>
    <row r="63" spans="1:8" ht="15" x14ac:dyDescent="0.25">
      <c r="A63" s="117"/>
      <c r="B63" s="118">
        <v>2448513</v>
      </c>
      <c r="C63" s="118" t="s">
        <v>422</v>
      </c>
      <c r="D63" s="118">
        <v>0.41</v>
      </c>
      <c r="E63" s="141" t="s">
        <v>145</v>
      </c>
      <c r="F63" s="145" t="s">
        <v>647</v>
      </c>
      <c r="G63" s="310">
        <v>0.41</v>
      </c>
      <c r="H63" s="299"/>
    </row>
    <row r="64" spans="1:8" ht="15.75" thickBot="1" x14ac:dyDescent="0.3">
      <c r="A64" s="302"/>
      <c r="B64" s="303">
        <v>2448887</v>
      </c>
      <c r="C64" s="303" t="s">
        <v>470</v>
      </c>
      <c r="D64" s="303">
        <v>1.56</v>
      </c>
      <c r="E64" s="281" t="s">
        <v>145</v>
      </c>
      <c r="F64" s="304" t="s">
        <v>669</v>
      </c>
      <c r="G64" s="312">
        <v>1.56</v>
      </c>
      <c r="H64" s="299">
        <f>SUM(G13:G64)</f>
        <v>70.634</v>
      </c>
    </row>
    <row r="65" spans="1:8" ht="15.75" thickBot="1" x14ac:dyDescent="0.3">
      <c r="A65" s="720" t="s">
        <v>153</v>
      </c>
      <c r="B65" s="721"/>
      <c r="C65" s="721"/>
      <c r="D65" s="721"/>
      <c r="E65" s="721"/>
      <c r="F65" s="721"/>
      <c r="G65" s="722"/>
      <c r="H65" s="299"/>
    </row>
    <row r="66" spans="1:8" ht="15" x14ac:dyDescent="0.25">
      <c r="A66" s="305"/>
      <c r="B66" s="306">
        <v>2447964</v>
      </c>
      <c r="C66" s="306" t="s">
        <v>154</v>
      </c>
      <c r="D66" s="306">
        <v>1.7</v>
      </c>
      <c r="E66" s="281" t="s">
        <v>145</v>
      </c>
      <c r="F66" s="326" t="s">
        <v>158</v>
      </c>
      <c r="G66" s="308">
        <v>0.73</v>
      </c>
      <c r="H66" s="299"/>
    </row>
    <row r="67" spans="1:8" ht="15" x14ac:dyDescent="0.25">
      <c r="A67" s="117"/>
      <c r="B67" s="118">
        <v>2448054</v>
      </c>
      <c r="C67" s="118" t="s">
        <v>155</v>
      </c>
      <c r="D67" s="118">
        <v>1.6</v>
      </c>
      <c r="E67" s="281" t="s">
        <v>145</v>
      </c>
      <c r="F67" s="145" t="s">
        <v>592</v>
      </c>
      <c r="G67" s="308">
        <v>0.94</v>
      </c>
      <c r="H67" s="299"/>
    </row>
    <row r="68" spans="1:8" ht="15" x14ac:dyDescent="0.25">
      <c r="A68" s="117"/>
      <c r="B68" s="118">
        <v>2448640</v>
      </c>
      <c r="C68" s="118" t="s">
        <v>157</v>
      </c>
      <c r="D68" s="118">
        <v>1.9</v>
      </c>
      <c r="E68" s="281" t="s">
        <v>145</v>
      </c>
      <c r="F68" s="145" t="s">
        <v>158</v>
      </c>
      <c r="G68" s="308">
        <v>0.73</v>
      </c>
      <c r="H68" s="299"/>
    </row>
    <row r="69" spans="1:8" ht="15" x14ac:dyDescent="0.25">
      <c r="A69" s="117"/>
      <c r="B69" s="118">
        <v>2448053</v>
      </c>
      <c r="C69" s="118" t="s">
        <v>159</v>
      </c>
      <c r="D69" s="118">
        <v>1.6</v>
      </c>
      <c r="E69" s="281" t="s">
        <v>145</v>
      </c>
      <c r="F69" s="145" t="s">
        <v>160</v>
      </c>
      <c r="G69" s="308">
        <v>0.67</v>
      </c>
      <c r="H69" s="299"/>
    </row>
    <row r="70" spans="1:8" ht="15" x14ac:dyDescent="0.25">
      <c r="A70" s="117"/>
      <c r="B70" s="118">
        <v>2448195</v>
      </c>
      <c r="C70" s="118" t="s">
        <v>476</v>
      </c>
      <c r="D70" s="118">
        <v>1.1499999999999999</v>
      </c>
      <c r="E70" s="281" t="s">
        <v>145</v>
      </c>
      <c r="F70" s="145" t="s">
        <v>593</v>
      </c>
      <c r="G70" s="308">
        <v>0.4</v>
      </c>
      <c r="H70" s="299"/>
    </row>
    <row r="71" spans="1:8" ht="15" x14ac:dyDescent="0.25">
      <c r="A71" s="117"/>
      <c r="B71" s="118">
        <v>2448729</v>
      </c>
      <c r="C71" s="118" t="s">
        <v>373</v>
      </c>
      <c r="D71" s="118">
        <v>2.8</v>
      </c>
      <c r="E71" s="281" t="s">
        <v>145</v>
      </c>
      <c r="F71" s="145" t="s">
        <v>537</v>
      </c>
      <c r="G71" s="308">
        <v>0.48</v>
      </c>
      <c r="H71" s="299"/>
    </row>
    <row r="72" spans="1:8" ht="15" x14ac:dyDescent="0.25">
      <c r="A72" s="117"/>
      <c r="B72" s="118">
        <v>2448003</v>
      </c>
      <c r="C72" s="118" t="s">
        <v>414</v>
      </c>
      <c r="D72" s="118">
        <v>1.3</v>
      </c>
      <c r="E72" s="281" t="s">
        <v>145</v>
      </c>
      <c r="F72" s="145" t="s">
        <v>538</v>
      </c>
      <c r="G72" s="308">
        <v>0.9</v>
      </c>
      <c r="H72" s="299"/>
    </row>
    <row r="73" spans="1:8" ht="15" x14ac:dyDescent="0.25">
      <c r="A73" s="117"/>
      <c r="B73" s="118">
        <v>2448614</v>
      </c>
      <c r="C73" s="118" t="s">
        <v>594</v>
      </c>
      <c r="D73" s="118">
        <v>1.4</v>
      </c>
      <c r="E73" s="281" t="s">
        <v>145</v>
      </c>
      <c r="F73" s="145" t="s">
        <v>595</v>
      </c>
      <c r="G73" s="313">
        <v>1.4</v>
      </c>
      <c r="H73" s="299"/>
    </row>
    <row r="74" spans="1:8" ht="15" x14ac:dyDescent="0.25">
      <c r="A74" s="117"/>
      <c r="B74" s="118">
        <v>2447636</v>
      </c>
      <c r="C74" s="118" t="s">
        <v>492</v>
      </c>
      <c r="D74" s="118">
        <v>0.316</v>
      </c>
      <c r="E74" s="281" t="s">
        <v>145</v>
      </c>
      <c r="F74" s="145" t="s">
        <v>616</v>
      </c>
      <c r="G74" s="311">
        <v>0.316</v>
      </c>
      <c r="H74" s="299"/>
    </row>
    <row r="75" spans="1:8" ht="15" x14ac:dyDescent="0.25">
      <c r="A75" s="117"/>
      <c r="B75" s="118">
        <v>2448773</v>
      </c>
      <c r="C75" s="118" t="s">
        <v>504</v>
      </c>
      <c r="D75" s="118">
        <v>1.1100000000000001</v>
      </c>
      <c r="E75" s="281" t="s">
        <v>145</v>
      </c>
      <c r="F75" s="145" t="s">
        <v>596</v>
      </c>
      <c r="G75" s="313">
        <v>1.1100000000000001</v>
      </c>
      <c r="H75" s="299"/>
    </row>
    <row r="76" spans="1:8" ht="15" x14ac:dyDescent="0.25">
      <c r="A76" s="117"/>
      <c r="B76" s="118">
        <v>2447530</v>
      </c>
      <c r="C76" s="118" t="s">
        <v>597</v>
      </c>
      <c r="D76" s="118">
        <v>1.2</v>
      </c>
      <c r="E76" s="281" t="s">
        <v>145</v>
      </c>
      <c r="F76" s="145" t="s">
        <v>598</v>
      </c>
      <c r="G76" s="311">
        <v>1.2</v>
      </c>
      <c r="H76" s="299"/>
    </row>
    <row r="77" spans="1:8" ht="15" x14ac:dyDescent="0.25">
      <c r="A77" s="117"/>
      <c r="B77" s="118">
        <v>2448729</v>
      </c>
      <c r="C77" s="118" t="s">
        <v>513</v>
      </c>
      <c r="D77" s="118">
        <v>0.52300000000000002</v>
      </c>
      <c r="E77" s="281" t="s">
        <v>145</v>
      </c>
      <c r="F77" s="145" t="s">
        <v>601</v>
      </c>
      <c r="G77" s="311">
        <v>0.52300000000000002</v>
      </c>
      <c r="H77" s="299"/>
    </row>
    <row r="78" spans="1:8" ht="15" x14ac:dyDescent="0.25">
      <c r="A78" s="117"/>
      <c r="B78" s="118">
        <v>2447710</v>
      </c>
      <c r="C78" s="118" t="s">
        <v>368</v>
      </c>
      <c r="D78" s="118">
        <v>1.5569999999999999</v>
      </c>
      <c r="E78" s="281" t="s">
        <v>145</v>
      </c>
      <c r="F78" s="145" t="s">
        <v>600</v>
      </c>
      <c r="G78" s="311">
        <v>1.5569999999999999</v>
      </c>
      <c r="H78" s="299"/>
    </row>
    <row r="79" spans="1:8" ht="15" x14ac:dyDescent="0.25">
      <c r="A79" s="117"/>
      <c r="B79" s="118">
        <v>2447391</v>
      </c>
      <c r="C79" s="118" t="s">
        <v>377</v>
      </c>
      <c r="D79" s="118">
        <v>1.31</v>
      </c>
      <c r="E79" s="281" t="s">
        <v>145</v>
      </c>
      <c r="F79" s="145" t="s">
        <v>603</v>
      </c>
      <c r="G79" s="311">
        <v>1.31</v>
      </c>
      <c r="H79" s="299"/>
    </row>
    <row r="80" spans="1:8" ht="60" x14ac:dyDescent="0.25">
      <c r="A80" s="117"/>
      <c r="B80" s="118"/>
      <c r="C80" s="152" t="s">
        <v>604</v>
      </c>
      <c r="D80" s="118">
        <v>1.3</v>
      </c>
      <c r="E80" s="281" t="s">
        <v>145</v>
      </c>
      <c r="F80" s="145" t="s">
        <v>605</v>
      </c>
      <c r="G80" s="311">
        <v>1.3</v>
      </c>
      <c r="H80" s="299"/>
    </row>
    <row r="81" spans="1:8" ht="15" x14ac:dyDescent="0.25">
      <c r="A81" s="117"/>
      <c r="B81" s="118">
        <v>2447621</v>
      </c>
      <c r="C81" s="118" t="s">
        <v>494</v>
      </c>
      <c r="D81" s="118">
        <v>0.95399999999999996</v>
      </c>
      <c r="E81" s="281" t="s">
        <v>145</v>
      </c>
      <c r="F81" s="145" t="s">
        <v>608</v>
      </c>
      <c r="G81" s="311">
        <v>0.95399999999999996</v>
      </c>
      <c r="H81" s="299"/>
    </row>
    <row r="82" spans="1:8" ht="15" x14ac:dyDescent="0.25">
      <c r="A82" s="117"/>
      <c r="B82" s="118">
        <v>2448488</v>
      </c>
      <c r="C82" s="118" t="s">
        <v>496</v>
      </c>
      <c r="D82" s="118">
        <v>0.78</v>
      </c>
      <c r="E82" s="281" t="s">
        <v>145</v>
      </c>
      <c r="F82" s="145" t="s">
        <v>611</v>
      </c>
      <c r="G82" s="311">
        <v>0.78</v>
      </c>
      <c r="H82" s="299"/>
    </row>
    <row r="83" spans="1:8" ht="15" x14ac:dyDescent="0.25">
      <c r="A83" s="117"/>
      <c r="B83" s="118">
        <v>2447282</v>
      </c>
      <c r="C83" s="118" t="s">
        <v>508</v>
      </c>
      <c r="D83" s="118">
        <v>1.3</v>
      </c>
      <c r="E83" s="281" t="s">
        <v>145</v>
      </c>
      <c r="F83" s="145" t="s">
        <v>605</v>
      </c>
      <c r="G83" s="311">
        <v>1.3</v>
      </c>
      <c r="H83" s="299"/>
    </row>
    <row r="84" spans="1:8" ht="15" x14ac:dyDescent="0.25">
      <c r="A84" s="117"/>
      <c r="B84" s="118">
        <v>2447651</v>
      </c>
      <c r="C84" s="118" t="s">
        <v>502</v>
      </c>
      <c r="D84" s="118">
        <v>0.76300000000000001</v>
      </c>
      <c r="E84" s="281" t="s">
        <v>145</v>
      </c>
      <c r="F84" s="145" t="s">
        <v>610</v>
      </c>
      <c r="G84" s="311">
        <v>0.76300000000000001</v>
      </c>
      <c r="H84" s="299"/>
    </row>
    <row r="85" spans="1:8" ht="15" x14ac:dyDescent="0.25">
      <c r="A85" s="117"/>
      <c r="B85" s="118">
        <v>2447886</v>
      </c>
      <c r="C85" s="118" t="s">
        <v>382</v>
      </c>
      <c r="D85" s="118">
        <v>1.21</v>
      </c>
      <c r="E85" s="281" t="s">
        <v>145</v>
      </c>
      <c r="F85" s="145" t="s">
        <v>614</v>
      </c>
      <c r="G85" s="311">
        <v>1.21</v>
      </c>
      <c r="H85" s="299"/>
    </row>
    <row r="86" spans="1:8" ht="15" x14ac:dyDescent="0.25">
      <c r="A86" s="729" t="s">
        <v>161</v>
      </c>
      <c r="B86" s="730"/>
      <c r="C86" s="730"/>
      <c r="D86" s="730"/>
      <c r="E86" s="730"/>
      <c r="F86" s="730"/>
      <c r="G86" s="731"/>
      <c r="H86" s="299"/>
    </row>
    <row r="87" spans="1:8" ht="15" x14ac:dyDescent="0.25">
      <c r="A87" s="117"/>
      <c r="B87" s="118">
        <v>2448481</v>
      </c>
      <c r="C87" s="118" t="s">
        <v>162</v>
      </c>
      <c r="D87" s="118">
        <v>1.56</v>
      </c>
      <c r="E87" s="281" t="s">
        <v>145</v>
      </c>
      <c r="F87" s="145" t="s">
        <v>695</v>
      </c>
      <c r="G87" s="314">
        <v>0.47399999999999998</v>
      </c>
      <c r="H87" s="299"/>
    </row>
    <row r="88" spans="1:8" ht="15" x14ac:dyDescent="0.25">
      <c r="A88" s="117"/>
      <c r="B88" s="118">
        <v>2447930</v>
      </c>
      <c r="C88" s="118" t="s">
        <v>163</v>
      </c>
      <c r="D88" s="118">
        <v>0.54200000000000004</v>
      </c>
      <c r="E88" s="281" t="s">
        <v>145</v>
      </c>
      <c r="F88" s="145" t="s">
        <v>696</v>
      </c>
      <c r="G88" s="314">
        <v>0.54200000000000004</v>
      </c>
      <c r="H88" s="299"/>
    </row>
    <row r="89" spans="1:8" ht="15" x14ac:dyDescent="0.25">
      <c r="A89" s="117"/>
      <c r="B89" s="118">
        <v>2448101</v>
      </c>
      <c r="C89" s="118" t="s">
        <v>386</v>
      </c>
      <c r="D89" s="118">
        <v>3.64</v>
      </c>
      <c r="E89" s="281" t="s">
        <v>145</v>
      </c>
      <c r="F89" s="145" t="s">
        <v>602</v>
      </c>
      <c r="G89" s="314">
        <v>0.55000000000000004</v>
      </c>
      <c r="H89" s="299"/>
    </row>
    <row r="90" spans="1:8" ht="15" x14ac:dyDescent="0.25">
      <c r="A90" s="117"/>
      <c r="B90" s="118">
        <v>2447809</v>
      </c>
      <c r="C90" s="118" t="s">
        <v>435</v>
      </c>
      <c r="D90" s="118">
        <v>0.76</v>
      </c>
      <c r="E90" s="281" t="s">
        <v>145</v>
      </c>
      <c r="F90" s="145" t="s">
        <v>697</v>
      </c>
      <c r="G90" s="315">
        <v>0.65500000000000003</v>
      </c>
      <c r="H90" s="299"/>
    </row>
    <row r="91" spans="1:8" ht="15" x14ac:dyDescent="0.25">
      <c r="A91" s="117"/>
      <c r="B91" s="118">
        <v>2448082</v>
      </c>
      <c r="C91" s="118" t="s">
        <v>519</v>
      </c>
      <c r="D91" s="118">
        <v>0.77</v>
      </c>
      <c r="E91" s="281" t="s">
        <v>145</v>
      </c>
      <c r="F91" s="145" t="s">
        <v>536</v>
      </c>
      <c r="G91" s="314">
        <v>0.63</v>
      </c>
      <c r="H91" s="299"/>
    </row>
    <row r="92" spans="1:8" ht="15" x14ac:dyDescent="0.25">
      <c r="A92" s="117"/>
      <c r="B92" s="118">
        <v>2448522</v>
      </c>
      <c r="C92" s="118" t="s">
        <v>531</v>
      </c>
      <c r="D92" s="118">
        <v>1.04</v>
      </c>
      <c r="E92" s="281" t="s">
        <v>145</v>
      </c>
      <c r="F92" s="145" t="s">
        <v>620</v>
      </c>
      <c r="G92" s="315">
        <v>0.52</v>
      </c>
      <c r="H92" s="299"/>
    </row>
    <row r="93" spans="1:8" ht="15" x14ac:dyDescent="0.25">
      <c r="A93" s="117"/>
      <c r="B93" s="118">
        <v>2447648</v>
      </c>
      <c r="C93" s="118" t="s">
        <v>448</v>
      </c>
      <c r="D93" s="118">
        <v>0.49</v>
      </c>
      <c r="E93" s="281" t="s">
        <v>145</v>
      </c>
      <c r="F93" s="145" t="s">
        <v>621</v>
      </c>
      <c r="G93" s="316">
        <v>0.49</v>
      </c>
      <c r="H93" s="299"/>
    </row>
    <row r="94" spans="1:8" ht="15" x14ac:dyDescent="0.25">
      <c r="A94" s="117"/>
      <c r="B94" s="118">
        <v>2447491</v>
      </c>
      <c r="C94" s="118" t="s">
        <v>524</v>
      </c>
      <c r="D94" s="118">
        <v>1.6</v>
      </c>
      <c r="E94" s="281" t="s">
        <v>145</v>
      </c>
      <c r="F94" s="145" t="s">
        <v>623</v>
      </c>
      <c r="G94" s="317">
        <v>0.46200000000000002</v>
      </c>
      <c r="H94" s="299"/>
    </row>
    <row r="95" spans="1:8" ht="15" x14ac:dyDescent="0.25">
      <c r="A95" s="117"/>
      <c r="B95" s="118">
        <v>2447271</v>
      </c>
      <c r="C95" s="118" t="s">
        <v>430</v>
      </c>
      <c r="D95" s="118">
        <v>0.35</v>
      </c>
      <c r="E95" s="281" t="s">
        <v>145</v>
      </c>
      <c r="F95" s="145" t="s">
        <v>624</v>
      </c>
      <c r="G95" s="318">
        <v>0.35</v>
      </c>
      <c r="H95" s="299"/>
    </row>
    <row r="96" spans="1:8" ht="15" x14ac:dyDescent="0.25">
      <c r="A96" s="117"/>
      <c r="B96" s="118">
        <v>2448834</v>
      </c>
      <c r="C96" s="118" t="s">
        <v>517</v>
      </c>
      <c r="D96" s="118">
        <v>0.18</v>
      </c>
      <c r="E96" s="281" t="s">
        <v>145</v>
      </c>
      <c r="F96" s="145" t="s">
        <v>625</v>
      </c>
      <c r="G96" s="317">
        <v>0.18</v>
      </c>
      <c r="H96" s="299"/>
    </row>
    <row r="97" spans="1:8" ht="15" x14ac:dyDescent="0.25">
      <c r="A97" s="117"/>
      <c r="B97" s="118">
        <v>2448624</v>
      </c>
      <c r="C97" s="118" t="s">
        <v>515</v>
      </c>
      <c r="D97" s="118">
        <v>0.64</v>
      </c>
      <c r="E97" s="281" t="s">
        <v>145</v>
      </c>
      <c r="F97" s="145" t="s">
        <v>619</v>
      </c>
      <c r="G97" s="319">
        <v>0.34</v>
      </c>
      <c r="H97" s="299"/>
    </row>
    <row r="98" spans="1:8" ht="33" customHeight="1" thickBot="1" x14ac:dyDescent="0.25">
      <c r="A98" s="723" t="s">
        <v>89</v>
      </c>
      <c r="B98" s="724"/>
      <c r="C98" s="725"/>
      <c r="D98" s="323">
        <f>SUM(D87:D97)+SUM(D66:D85)+SUM(D13:D64)</f>
        <v>130.375</v>
      </c>
      <c r="E98" s="323"/>
      <c r="F98" s="323"/>
      <c r="G98" s="323">
        <f>SUM(G87:G97)+SUM(G66:G85)+SUM(G13:G64)</f>
        <v>94.4</v>
      </c>
      <c r="H98" s="299"/>
    </row>
    <row r="99" spans="1:8" ht="30" customHeight="1" thickBot="1" x14ac:dyDescent="0.3">
      <c r="A99" s="726" t="s">
        <v>90</v>
      </c>
      <c r="B99" s="727"/>
      <c r="C99" s="728"/>
      <c r="D99" s="324">
        <f>D98</f>
        <v>130.375</v>
      </c>
      <c r="E99" s="114" t="s">
        <v>95</v>
      </c>
      <c r="F99" s="114" t="s">
        <v>95</v>
      </c>
      <c r="G99" s="325">
        <f>G98</f>
        <v>94.4</v>
      </c>
      <c r="H99" s="299"/>
    </row>
    <row r="100" spans="1:8" x14ac:dyDescent="0.2">
      <c r="H100" s="299"/>
    </row>
    <row r="101" spans="1:8" x14ac:dyDescent="0.2">
      <c r="H101" s="299"/>
    </row>
    <row r="102" spans="1:8" x14ac:dyDescent="0.2">
      <c r="H102" s="299"/>
    </row>
    <row r="103" spans="1:8" x14ac:dyDescent="0.2">
      <c r="H103" s="299"/>
    </row>
    <row r="104" spans="1:8" x14ac:dyDescent="0.2">
      <c r="H104" s="299"/>
    </row>
    <row r="105" spans="1:8" x14ac:dyDescent="0.2">
      <c r="H105" s="299"/>
    </row>
    <row r="106" spans="1:8" x14ac:dyDescent="0.2">
      <c r="H106" s="299"/>
    </row>
    <row r="107" spans="1:8" x14ac:dyDescent="0.2">
      <c r="H107" s="299"/>
    </row>
    <row r="108" spans="1:8" x14ac:dyDescent="0.2">
      <c r="H108" s="299"/>
    </row>
    <row r="109" spans="1:8" x14ac:dyDescent="0.2">
      <c r="H109" s="299"/>
    </row>
    <row r="110" spans="1:8" x14ac:dyDescent="0.2">
      <c r="H110" s="299"/>
    </row>
    <row r="111" spans="1:8" x14ac:dyDescent="0.2">
      <c r="H111" s="299"/>
    </row>
    <row r="112" spans="1:8" x14ac:dyDescent="0.2">
      <c r="H112" s="299"/>
    </row>
    <row r="113" spans="8:8" x14ac:dyDescent="0.2">
      <c r="H113" s="299"/>
    </row>
    <row r="114" spans="8:8" x14ac:dyDescent="0.2">
      <c r="H114" s="299"/>
    </row>
    <row r="115" spans="8:8" x14ac:dyDescent="0.2">
      <c r="H115" s="299"/>
    </row>
    <row r="116" spans="8:8" x14ac:dyDescent="0.2">
      <c r="H116" s="299"/>
    </row>
    <row r="117" spans="8:8" x14ac:dyDescent="0.2">
      <c r="H117" s="299"/>
    </row>
    <row r="118" spans="8:8" x14ac:dyDescent="0.2">
      <c r="H118" s="299"/>
    </row>
    <row r="119" spans="8:8" x14ac:dyDescent="0.2">
      <c r="H119" s="299"/>
    </row>
    <row r="120" spans="8:8" x14ac:dyDescent="0.2">
      <c r="H120" s="299"/>
    </row>
    <row r="121" spans="8:8" x14ac:dyDescent="0.2">
      <c r="H121" s="299"/>
    </row>
    <row r="122" spans="8:8" x14ac:dyDescent="0.2">
      <c r="H122" s="299"/>
    </row>
    <row r="123" spans="8:8" x14ac:dyDescent="0.2">
      <c r="H123" s="299"/>
    </row>
    <row r="124" spans="8:8" x14ac:dyDescent="0.2">
      <c r="H124" s="299"/>
    </row>
    <row r="125" spans="8:8" x14ac:dyDescent="0.2">
      <c r="H125" s="299"/>
    </row>
    <row r="126" spans="8:8" x14ac:dyDescent="0.2">
      <c r="H126" s="299"/>
    </row>
    <row r="127" spans="8:8" x14ac:dyDescent="0.2">
      <c r="H127" s="299"/>
    </row>
    <row r="128" spans="8:8" x14ac:dyDescent="0.2">
      <c r="H128" s="299"/>
    </row>
    <row r="129" spans="8:8" x14ac:dyDescent="0.2">
      <c r="H129" s="299"/>
    </row>
    <row r="130" spans="8:8" x14ac:dyDescent="0.2">
      <c r="H130" s="299"/>
    </row>
    <row r="131" spans="8:8" x14ac:dyDescent="0.2">
      <c r="H131" s="299"/>
    </row>
    <row r="132" spans="8:8" x14ac:dyDescent="0.2">
      <c r="H132" s="299"/>
    </row>
    <row r="133" spans="8:8" x14ac:dyDescent="0.2">
      <c r="H133" s="299"/>
    </row>
    <row r="134" spans="8:8" x14ac:dyDescent="0.2">
      <c r="H134" s="299"/>
    </row>
    <row r="135" spans="8:8" x14ac:dyDescent="0.2">
      <c r="H135" s="299"/>
    </row>
    <row r="136" spans="8:8" x14ac:dyDescent="0.2">
      <c r="H136" s="299"/>
    </row>
    <row r="137" spans="8:8" x14ac:dyDescent="0.2">
      <c r="H137" s="299"/>
    </row>
    <row r="138" spans="8:8" x14ac:dyDescent="0.2">
      <c r="H138" s="299"/>
    </row>
    <row r="139" spans="8:8" x14ac:dyDescent="0.2">
      <c r="H139" s="299"/>
    </row>
    <row r="140" spans="8:8" x14ac:dyDescent="0.2">
      <c r="H140" s="299"/>
    </row>
    <row r="141" spans="8:8" x14ac:dyDescent="0.2">
      <c r="H141" s="299"/>
    </row>
    <row r="142" spans="8:8" x14ac:dyDescent="0.2">
      <c r="H142" s="299"/>
    </row>
    <row r="143" spans="8:8" x14ac:dyDescent="0.2">
      <c r="H143" s="299"/>
    </row>
    <row r="144" spans="8:8" x14ac:dyDescent="0.2">
      <c r="H144" s="299"/>
    </row>
    <row r="145" spans="8:8" x14ac:dyDescent="0.2">
      <c r="H145" s="299"/>
    </row>
    <row r="146" spans="8:8" x14ac:dyDescent="0.2">
      <c r="H146" s="299"/>
    </row>
    <row r="147" spans="8:8" x14ac:dyDescent="0.2">
      <c r="H147" s="299"/>
    </row>
    <row r="148" spans="8:8" x14ac:dyDescent="0.2">
      <c r="H148" s="299"/>
    </row>
    <row r="149" spans="8:8" x14ac:dyDescent="0.2">
      <c r="H149" s="299"/>
    </row>
    <row r="150" spans="8:8" x14ac:dyDescent="0.2">
      <c r="H150" s="299"/>
    </row>
    <row r="151" spans="8:8" x14ac:dyDescent="0.2">
      <c r="H151" s="299"/>
    </row>
    <row r="152" spans="8:8" x14ac:dyDescent="0.2">
      <c r="H152" s="299"/>
    </row>
    <row r="153" spans="8:8" x14ac:dyDescent="0.2">
      <c r="H153" s="299"/>
    </row>
    <row r="154" spans="8:8" x14ac:dyDescent="0.2">
      <c r="H154" s="299"/>
    </row>
    <row r="155" spans="8:8" x14ac:dyDescent="0.2">
      <c r="H155" s="299"/>
    </row>
    <row r="156" spans="8:8" x14ac:dyDescent="0.2">
      <c r="H156" s="299"/>
    </row>
    <row r="157" spans="8:8" x14ac:dyDescent="0.2">
      <c r="H157" s="299"/>
    </row>
    <row r="158" spans="8:8" x14ac:dyDescent="0.2">
      <c r="H158" s="299"/>
    </row>
    <row r="159" spans="8:8" x14ac:dyDescent="0.2">
      <c r="H159" s="299"/>
    </row>
    <row r="160" spans="8:8" x14ac:dyDescent="0.2">
      <c r="H160" s="299"/>
    </row>
    <row r="161" spans="8:8" x14ac:dyDescent="0.2">
      <c r="H161" s="299"/>
    </row>
    <row r="162" spans="8:8" x14ac:dyDescent="0.2">
      <c r="H162" s="299"/>
    </row>
    <row r="163" spans="8:8" x14ac:dyDescent="0.2">
      <c r="H163" s="299"/>
    </row>
    <row r="164" spans="8:8" x14ac:dyDescent="0.2">
      <c r="H164" s="299"/>
    </row>
    <row r="165" spans="8:8" x14ac:dyDescent="0.2">
      <c r="H165" s="299"/>
    </row>
    <row r="166" spans="8:8" x14ac:dyDescent="0.2">
      <c r="H166" s="299"/>
    </row>
    <row r="167" spans="8:8" x14ac:dyDescent="0.2">
      <c r="H167" s="299"/>
    </row>
    <row r="168" spans="8:8" x14ac:dyDescent="0.2">
      <c r="H168" s="299"/>
    </row>
    <row r="169" spans="8:8" x14ac:dyDescent="0.2">
      <c r="H169" s="299"/>
    </row>
    <row r="170" spans="8:8" x14ac:dyDescent="0.2">
      <c r="H170" s="299"/>
    </row>
    <row r="171" spans="8:8" x14ac:dyDescent="0.2">
      <c r="H171" s="299"/>
    </row>
    <row r="172" spans="8:8" x14ac:dyDescent="0.2">
      <c r="H172" s="299"/>
    </row>
    <row r="173" spans="8:8" x14ac:dyDescent="0.2">
      <c r="H173" s="299"/>
    </row>
    <row r="174" spans="8:8" x14ac:dyDescent="0.2">
      <c r="H174" s="299"/>
    </row>
    <row r="175" spans="8:8" x14ac:dyDescent="0.2">
      <c r="H175" s="299"/>
    </row>
    <row r="176" spans="8:8" x14ac:dyDescent="0.2">
      <c r="H176" s="299"/>
    </row>
    <row r="177" spans="8:8" x14ac:dyDescent="0.2">
      <c r="H177" s="299"/>
    </row>
    <row r="178" spans="8:8" x14ac:dyDescent="0.2">
      <c r="H178" s="299"/>
    </row>
    <row r="179" spans="8:8" x14ac:dyDescent="0.2">
      <c r="H179" s="299"/>
    </row>
    <row r="180" spans="8:8" x14ac:dyDescent="0.2">
      <c r="H180" s="299"/>
    </row>
    <row r="181" spans="8:8" x14ac:dyDescent="0.2">
      <c r="H181" s="299"/>
    </row>
    <row r="182" spans="8:8" x14ac:dyDescent="0.2">
      <c r="H182" s="299"/>
    </row>
    <row r="183" spans="8:8" x14ac:dyDescent="0.2">
      <c r="H183" s="299"/>
    </row>
    <row r="184" spans="8:8" x14ac:dyDescent="0.2">
      <c r="H184" s="299"/>
    </row>
    <row r="185" spans="8:8" x14ac:dyDescent="0.2">
      <c r="H185" s="299"/>
    </row>
    <row r="186" spans="8:8" x14ac:dyDescent="0.2">
      <c r="H186" s="299"/>
    </row>
    <row r="187" spans="8:8" x14ac:dyDescent="0.2">
      <c r="H187" s="299"/>
    </row>
    <row r="188" spans="8:8" x14ac:dyDescent="0.2">
      <c r="H188" s="299"/>
    </row>
    <row r="189" spans="8:8" x14ac:dyDescent="0.2">
      <c r="H189" s="299"/>
    </row>
    <row r="190" spans="8:8" x14ac:dyDescent="0.2">
      <c r="H190" s="299"/>
    </row>
    <row r="191" spans="8:8" x14ac:dyDescent="0.2">
      <c r="H191" s="299"/>
    </row>
    <row r="192" spans="8:8" x14ac:dyDescent="0.2">
      <c r="H192" s="299"/>
    </row>
    <row r="193" spans="8:8" x14ac:dyDescent="0.2">
      <c r="H193" s="299"/>
    </row>
    <row r="194" spans="8:8" x14ac:dyDescent="0.2">
      <c r="H194" s="299"/>
    </row>
    <row r="195" spans="8:8" x14ac:dyDescent="0.2">
      <c r="H195" s="299"/>
    </row>
    <row r="196" spans="8:8" x14ac:dyDescent="0.2">
      <c r="H196" s="299"/>
    </row>
    <row r="197" spans="8:8" x14ac:dyDescent="0.2">
      <c r="H197" s="299"/>
    </row>
    <row r="198" spans="8:8" x14ac:dyDescent="0.2">
      <c r="H198" s="299"/>
    </row>
    <row r="199" spans="8:8" x14ac:dyDescent="0.2">
      <c r="H199" s="299"/>
    </row>
    <row r="200" spans="8:8" x14ac:dyDescent="0.2">
      <c r="H200" s="299"/>
    </row>
    <row r="201" spans="8:8" x14ac:dyDescent="0.2">
      <c r="H201" s="299"/>
    </row>
    <row r="202" spans="8:8" x14ac:dyDescent="0.2">
      <c r="H202" s="299"/>
    </row>
    <row r="203" spans="8:8" x14ac:dyDescent="0.2">
      <c r="H203" s="299"/>
    </row>
    <row r="204" spans="8:8" x14ac:dyDescent="0.2">
      <c r="H204" s="299"/>
    </row>
    <row r="205" spans="8:8" x14ac:dyDescent="0.2">
      <c r="H205" s="299"/>
    </row>
    <row r="206" spans="8:8" x14ac:dyDescent="0.2">
      <c r="H206" s="299"/>
    </row>
    <row r="207" spans="8:8" x14ac:dyDescent="0.2">
      <c r="H207" s="299"/>
    </row>
    <row r="208" spans="8:8" x14ac:dyDescent="0.2">
      <c r="H208" s="299"/>
    </row>
    <row r="209" spans="8:8" x14ac:dyDescent="0.2">
      <c r="H209" s="299"/>
    </row>
    <row r="210" spans="8:8" x14ac:dyDescent="0.2">
      <c r="H210" s="299"/>
    </row>
    <row r="211" spans="8:8" x14ac:dyDescent="0.2">
      <c r="H211" s="299"/>
    </row>
    <row r="212" spans="8:8" x14ac:dyDescent="0.2">
      <c r="H212" s="299"/>
    </row>
    <row r="213" spans="8:8" x14ac:dyDescent="0.2">
      <c r="H213" s="299"/>
    </row>
    <row r="214" spans="8:8" x14ac:dyDescent="0.2">
      <c r="H214" s="299"/>
    </row>
    <row r="215" spans="8:8" x14ac:dyDescent="0.2">
      <c r="H215" s="299"/>
    </row>
    <row r="216" spans="8:8" x14ac:dyDescent="0.2">
      <c r="H216" s="299"/>
    </row>
    <row r="217" spans="8:8" x14ac:dyDescent="0.2">
      <c r="H217" s="299"/>
    </row>
    <row r="218" spans="8:8" x14ac:dyDescent="0.2">
      <c r="H218" s="299"/>
    </row>
    <row r="219" spans="8:8" x14ac:dyDescent="0.2">
      <c r="H219" s="299"/>
    </row>
    <row r="220" spans="8:8" x14ac:dyDescent="0.2">
      <c r="H220" s="299"/>
    </row>
    <row r="221" spans="8:8" x14ac:dyDescent="0.2">
      <c r="H221" s="299"/>
    </row>
    <row r="222" spans="8:8" x14ac:dyDescent="0.2">
      <c r="H222" s="299"/>
    </row>
    <row r="223" spans="8:8" x14ac:dyDescent="0.2">
      <c r="H223" s="299"/>
    </row>
    <row r="224" spans="8:8" x14ac:dyDescent="0.2">
      <c r="H224" s="299"/>
    </row>
    <row r="225" spans="8:8" x14ac:dyDescent="0.2">
      <c r="H225" s="299"/>
    </row>
    <row r="226" spans="8:8" x14ac:dyDescent="0.2">
      <c r="H226" s="299"/>
    </row>
    <row r="227" spans="8:8" x14ac:dyDescent="0.2">
      <c r="H227" s="299"/>
    </row>
    <row r="228" spans="8:8" x14ac:dyDescent="0.2">
      <c r="H228" s="299"/>
    </row>
    <row r="229" spans="8:8" x14ac:dyDescent="0.2">
      <c r="H229" s="299"/>
    </row>
    <row r="230" spans="8:8" x14ac:dyDescent="0.2">
      <c r="H230" s="299"/>
    </row>
    <row r="231" spans="8:8" x14ac:dyDescent="0.2">
      <c r="H231" s="299"/>
    </row>
    <row r="232" spans="8:8" x14ac:dyDescent="0.2">
      <c r="H232" s="299"/>
    </row>
    <row r="233" spans="8:8" x14ac:dyDescent="0.2">
      <c r="H233" s="299"/>
    </row>
    <row r="234" spans="8:8" x14ac:dyDescent="0.2">
      <c r="H234" s="299"/>
    </row>
    <row r="235" spans="8:8" x14ac:dyDescent="0.2">
      <c r="H235" s="299"/>
    </row>
    <row r="236" spans="8:8" x14ac:dyDescent="0.2">
      <c r="H236" s="299"/>
    </row>
    <row r="237" spans="8:8" x14ac:dyDescent="0.2">
      <c r="H237" s="299"/>
    </row>
    <row r="238" spans="8:8" x14ac:dyDescent="0.2">
      <c r="H238" s="299"/>
    </row>
    <row r="239" spans="8:8" x14ac:dyDescent="0.2">
      <c r="H239" s="299"/>
    </row>
    <row r="240" spans="8:8" x14ac:dyDescent="0.2">
      <c r="H240" s="299"/>
    </row>
    <row r="241" spans="8:8" x14ac:dyDescent="0.2">
      <c r="H241" s="299"/>
    </row>
    <row r="242" spans="8:8" x14ac:dyDescent="0.2">
      <c r="H242" s="299"/>
    </row>
    <row r="243" spans="8:8" x14ac:dyDescent="0.2">
      <c r="H243" s="299"/>
    </row>
    <row r="244" spans="8:8" x14ac:dyDescent="0.2">
      <c r="H244" s="299"/>
    </row>
    <row r="245" spans="8:8" x14ac:dyDescent="0.2">
      <c r="H245" s="299"/>
    </row>
    <row r="246" spans="8:8" x14ac:dyDescent="0.2">
      <c r="H246" s="299"/>
    </row>
    <row r="247" spans="8:8" x14ac:dyDescent="0.2">
      <c r="H247" s="299"/>
    </row>
    <row r="248" spans="8:8" x14ac:dyDescent="0.2">
      <c r="H248" s="299"/>
    </row>
    <row r="249" spans="8:8" x14ac:dyDescent="0.2">
      <c r="H249" s="299"/>
    </row>
    <row r="250" spans="8:8" x14ac:dyDescent="0.2">
      <c r="H250" s="299"/>
    </row>
    <row r="251" spans="8:8" x14ac:dyDescent="0.2">
      <c r="H251" s="299"/>
    </row>
    <row r="252" spans="8:8" x14ac:dyDescent="0.2">
      <c r="H252" s="299"/>
    </row>
    <row r="253" spans="8:8" x14ac:dyDescent="0.2">
      <c r="H253" s="299"/>
    </row>
    <row r="254" spans="8:8" x14ac:dyDescent="0.2">
      <c r="H254" s="299"/>
    </row>
    <row r="255" spans="8:8" x14ac:dyDescent="0.2">
      <c r="H255" s="299"/>
    </row>
  </sheetData>
  <mergeCells count="19">
    <mergeCell ref="A1:G1"/>
    <mergeCell ref="A2:A4"/>
    <mergeCell ref="B2:B4"/>
    <mergeCell ref="C2:C4"/>
    <mergeCell ref="D2:D4"/>
    <mergeCell ref="E2:G2"/>
    <mergeCell ref="E3:F3"/>
    <mergeCell ref="G3:G4"/>
    <mergeCell ref="A65:G65"/>
    <mergeCell ref="A98:C98"/>
    <mergeCell ref="A99:C99"/>
    <mergeCell ref="A86:G86"/>
    <mergeCell ref="A6:G6"/>
    <mergeCell ref="A10:C10"/>
    <mergeCell ref="A11:G11"/>
    <mergeCell ref="A12:G12"/>
    <mergeCell ref="B25:B26"/>
    <mergeCell ref="C25:C26"/>
    <mergeCell ref="D25:D2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Таблица № 1</vt:lpstr>
      <vt:lpstr>Таблица №2</vt:lpstr>
      <vt:lpstr>Таблица №3</vt:lpstr>
      <vt:lpstr>Таблица №4</vt:lpstr>
      <vt:lpstr>Таблица №5</vt:lpstr>
      <vt:lpstr>Таблица №6 </vt:lpstr>
      <vt:lpstr>Таблица №7</vt:lpstr>
      <vt:lpstr>Таблица №8 </vt:lpstr>
      <vt:lpstr>'Таблица №6 '!Заголовки_для_печати</vt:lpstr>
      <vt:lpstr>'Таблица № 1'!Область_печати</vt:lpstr>
      <vt:lpstr>'Таблица №2'!Область_печати</vt:lpstr>
      <vt:lpstr>'Таблица №3'!Область_печати</vt:lpstr>
      <vt:lpstr>'Таблица №4'!Область_печати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Полуэктова Евгения Анатольевна</dc:creator>
  <cp:lastModifiedBy>Сарыг-оол Айлана Сергеевна</cp:lastModifiedBy>
  <cp:lastPrinted>2019-01-16T01:38:00Z</cp:lastPrinted>
  <dcterms:created xsi:type="dcterms:W3CDTF">2018-08-07T10:42:28Z</dcterms:created>
  <dcterms:modified xsi:type="dcterms:W3CDTF">2019-02-07T11:10:33Z</dcterms:modified>
</cp:coreProperties>
</file>